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ome\Dropbox\Dokumente\BuM\Münzen\Excel-Tabellen und Dokument\Meine Beschaffungen\"/>
    </mc:Choice>
  </mc:AlternateContent>
  <bookViews>
    <workbookView xWindow="0" yWindow="0" windowWidth="20460" windowHeight="7680"/>
  </bookViews>
  <sheets>
    <sheet name="Tabelle1" sheetId="1" r:id="rId1"/>
  </sheets>
  <definedNames>
    <definedName name="_xlnm._FilterDatabase" localSheetId="0" hidden="1">Tabelle1!$B$3:$U$32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2" i="1" l="1"/>
  <c r="U11" i="1"/>
  <c r="K32" i="1" l="1"/>
  <c r="S10" i="1" l="1"/>
  <c r="Q11" i="1" s="1"/>
  <c r="Q8" i="1" s="1"/>
  <c r="G6" i="1"/>
  <c r="G17" i="1" l="1"/>
  <c r="G9" i="1" l="1"/>
  <c r="H32" i="1" l="1"/>
  <c r="S11" i="1"/>
  <c r="G25" i="1"/>
  <c r="G26" i="1"/>
  <c r="G27" i="1"/>
  <c r="E32" i="1"/>
  <c r="H33" i="1"/>
  <c r="G8" i="1" l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8" i="1"/>
  <c r="G29" i="1"/>
  <c r="G30" i="1"/>
  <c r="G7" i="1"/>
  <c r="G32" i="1" l="1"/>
  <c r="J8" i="1" l="1"/>
  <c r="J23" i="1"/>
  <c r="J25" i="1"/>
  <c r="J20" i="1"/>
  <c r="J10" i="1"/>
  <c r="J21" i="1"/>
  <c r="J18" i="1"/>
  <c r="J29" i="1"/>
  <c r="J13" i="1"/>
  <c r="J12" i="1"/>
  <c r="J30" i="1"/>
  <c r="S8" i="1"/>
  <c r="T13" i="1" s="1"/>
  <c r="U8" i="1"/>
  <c r="T14" i="1" s="1"/>
  <c r="T15" i="1" l="1"/>
  <c r="J32" i="1"/>
  <c r="F6" i="1"/>
  <c r="L6" i="1" s="1"/>
  <c r="F25" i="1"/>
  <c r="L25" i="1" s="1"/>
  <c r="F27" i="1"/>
  <c r="L27" i="1" s="1"/>
  <c r="F26" i="1"/>
  <c r="L26" i="1" s="1"/>
  <c r="D32" i="1"/>
  <c r="D33" i="1" s="1"/>
  <c r="F7" i="1" l="1"/>
  <c r="L7" i="1" s="1"/>
  <c r="F11" i="1"/>
  <c r="L11" i="1" s="1"/>
  <c r="F15" i="1"/>
  <c r="L15" i="1" s="1"/>
  <c r="F19" i="1"/>
  <c r="L19" i="1" s="1"/>
  <c r="F23" i="1"/>
  <c r="L23" i="1" s="1"/>
  <c r="F30" i="1"/>
  <c r="L30" i="1" s="1"/>
  <c r="F8" i="1"/>
  <c r="L8" i="1" s="1"/>
  <c r="F12" i="1"/>
  <c r="L12" i="1" s="1"/>
  <c r="F16" i="1"/>
  <c r="L16" i="1" s="1"/>
  <c r="F20" i="1"/>
  <c r="L20" i="1" s="1"/>
  <c r="F24" i="1"/>
  <c r="L24" i="1" s="1"/>
  <c r="F9" i="1"/>
  <c r="L9" i="1" s="1"/>
  <c r="F13" i="1"/>
  <c r="L13" i="1" s="1"/>
  <c r="F17" i="1"/>
  <c r="L17" i="1" s="1"/>
  <c r="F21" i="1"/>
  <c r="L21" i="1" s="1"/>
  <c r="F28" i="1"/>
  <c r="L28" i="1" s="1"/>
  <c r="F10" i="1"/>
  <c r="L10" i="1" s="1"/>
  <c r="F14" i="1"/>
  <c r="L14" i="1" s="1"/>
  <c r="F18" i="1"/>
  <c r="L18" i="1" s="1"/>
  <c r="F22" i="1"/>
  <c r="L22" i="1" s="1"/>
  <c r="F29" i="1"/>
  <c r="L29" i="1" s="1"/>
  <c r="E33" i="1"/>
  <c r="C32" i="1"/>
  <c r="C33" i="1" s="1"/>
  <c r="F32" i="1" l="1"/>
  <c r="L32" i="1" l="1"/>
</calcChain>
</file>

<file path=xl/sharedStrings.xml><?xml version="1.0" encoding="utf-8"?>
<sst xmlns="http://schemas.openxmlformats.org/spreadsheetml/2006/main" count="133" uniqueCount="66">
  <si>
    <t>P</t>
  </si>
  <si>
    <t>D</t>
  </si>
  <si>
    <t>S</t>
  </si>
  <si>
    <t>Versand</t>
  </si>
  <si>
    <t>direkt</t>
  </si>
  <si>
    <t>Quarter</t>
  </si>
  <si>
    <t>Kosten</t>
  </si>
  <si>
    <t>Rolle</t>
  </si>
  <si>
    <t>1 Stück</t>
  </si>
  <si>
    <t>Dollar</t>
  </si>
  <si>
    <t>Wechselkurs</t>
  </si>
  <si>
    <t>Gesamt</t>
  </si>
  <si>
    <t>1 Satz</t>
  </si>
  <si>
    <t>bezahlt</t>
  </si>
  <si>
    <t>Kosten USA</t>
  </si>
  <si>
    <t>Gewicht</t>
  </si>
  <si>
    <t>UPS</t>
  </si>
  <si>
    <t>Native</t>
  </si>
  <si>
    <t>Rest</t>
  </si>
  <si>
    <t>Verpackung</t>
  </si>
  <si>
    <t>Transport</t>
  </si>
  <si>
    <t>neu-münzsammler</t>
  </si>
  <si>
    <t>Motengo</t>
  </si>
  <si>
    <t>stauba</t>
  </si>
  <si>
    <t>OLS</t>
  </si>
  <si>
    <t>redlock</t>
  </si>
  <si>
    <t>chemik</t>
  </si>
  <si>
    <t>helmschck</t>
  </si>
  <si>
    <t>caninus</t>
  </si>
  <si>
    <t>betamax</t>
  </si>
  <si>
    <t>Django</t>
  </si>
  <si>
    <t>del200</t>
  </si>
  <si>
    <t>Minuti01</t>
  </si>
  <si>
    <t>Alu-Chip</t>
  </si>
  <si>
    <t>Andro</t>
  </si>
  <si>
    <t>5x Quarter S</t>
  </si>
  <si>
    <t>2x Natives P + D</t>
  </si>
  <si>
    <t>Kompaktbrief</t>
  </si>
  <si>
    <t>Großbrief</t>
  </si>
  <si>
    <t>rastaralle</t>
  </si>
  <si>
    <t>pepopap</t>
  </si>
  <si>
    <t>Seltengast</t>
  </si>
  <si>
    <t>Xilk</t>
  </si>
  <si>
    <t>Stand:</t>
  </si>
  <si>
    <t>Besteller</t>
  </si>
  <si>
    <t>Preis</t>
  </si>
  <si>
    <t>versendet</t>
  </si>
  <si>
    <t>Beschaffung &gt;&gt;USA&lt;&lt; Quarter und Natives 2019</t>
  </si>
  <si>
    <t>-</t>
  </si>
  <si>
    <t>Summe</t>
  </si>
  <si>
    <t>x OLS</t>
  </si>
  <si>
    <t>x direkt</t>
  </si>
  <si>
    <t>angekommen</t>
  </si>
  <si>
    <t>ALAMIR</t>
  </si>
  <si>
    <t>Voller</t>
  </si>
  <si>
    <t>ornata</t>
  </si>
  <si>
    <t>MC-Hebbel</t>
  </si>
  <si>
    <t>Atuatuca</t>
  </si>
  <si>
    <t>+ Nickel</t>
  </si>
  <si>
    <t>√</t>
  </si>
  <si>
    <t>Ewald67</t>
  </si>
  <si>
    <t>+ Nickel + Bani</t>
  </si>
  <si>
    <t>Rück-
zahlung</t>
  </si>
  <si>
    <t>Leitwolf</t>
  </si>
  <si>
    <t>schnuff99</t>
  </si>
  <si>
    <t>M Ü N Z E N   A N G E K O M M E N ,   U P S   R E C H N U N G   F I N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</si>
</sst>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3" formatCode="_-* #,##0.00\ _€_-;\-* #,##0.00\ _€_-;_-* &quot;-&quot;??\ _€_-;_-@_-"/>
    <numFmt numFmtId="164" formatCode="[$$-409]#,##0.00"/>
    <numFmt numFmtId="165" formatCode="#,##0.00\ &quot;€&quot;"/>
    <numFmt numFmtId="166" formatCode="#,##0.00&quot; €&quot;"/>
    <numFmt numFmtId="167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Arial Unicode MS"/>
      <family val="2"/>
    </font>
    <font>
      <b/>
      <sz val="11"/>
      <color rgb="FF92D050"/>
      <name val="Arial Unicode MS"/>
      <family val="2"/>
    </font>
    <font>
      <b/>
      <sz val="11"/>
      <color rgb="FFFF0000"/>
      <name val="Arial Unicode MS"/>
      <family val="2"/>
    </font>
    <font>
      <b/>
      <sz val="11"/>
      <color indexed="8"/>
      <name val="Arial Unicode MS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20"/>
      <color indexed="8"/>
      <name val="Arial Unicode MS"/>
      <family val="2"/>
    </font>
    <font>
      <sz val="20"/>
      <color indexed="8"/>
      <name val="Arial Unicode MS"/>
      <family val="2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3" fillId="0" borderId="0" xfId="2" applyFont="1" applyBorder="1" applyAlignment="1">
      <alignment horizontal="center" vertical="center" wrapText="1"/>
    </xf>
    <xf numFmtId="0" fontId="4" fillId="4" borderId="0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8" fontId="7" fillId="0" borderId="14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164" fontId="7" fillId="0" borderId="3" xfId="0" applyNumberFormat="1" applyFont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165" fontId="7" fillId="3" borderId="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0" fillId="0" borderId="0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5" borderId="1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5" fontId="7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67" fontId="7" fillId="0" borderId="14" xfId="0" applyNumberFormat="1" applyFont="1" applyBorder="1" applyAlignment="1">
      <alignment vertical="center"/>
    </xf>
    <xf numFmtId="165" fontId="7" fillId="0" borderId="17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4" fontId="7" fillId="0" borderId="0" xfId="1" applyNumberFormat="1" applyFont="1" applyAlignment="1">
      <alignment horizontal="right" vertical="center"/>
    </xf>
    <xf numFmtId="4" fontId="7" fillId="0" borderId="17" xfId="1" applyNumberFormat="1" applyFont="1" applyFill="1" applyBorder="1" applyAlignment="1">
      <alignment horizontal="right" vertical="center"/>
    </xf>
    <xf numFmtId="4" fontId="7" fillId="0" borderId="17" xfId="1" applyNumberFormat="1" applyFont="1" applyBorder="1" applyAlignment="1">
      <alignment horizontal="right" vertical="center"/>
    </xf>
    <xf numFmtId="8" fontId="7" fillId="0" borderId="0" xfId="0" applyNumberFormat="1" applyFont="1" applyAlignment="1">
      <alignment vertical="center"/>
    </xf>
    <xf numFmtId="0" fontId="9" fillId="0" borderId="0" xfId="2" applyFont="1" applyFill="1" applyBorder="1" applyAlignment="1">
      <alignment horizontal="left" vertical="center" wrapText="1"/>
    </xf>
    <xf numFmtId="166" fontId="5" fillId="0" borderId="0" xfId="2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5" fontId="7" fillId="0" borderId="0" xfId="0" quotePrefix="1" applyNumberFormat="1" applyFont="1" applyFill="1" applyAlignment="1">
      <alignment horizontal="left" vertical="center"/>
    </xf>
    <xf numFmtId="165" fontId="11" fillId="0" borderId="17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4" fontId="4" fillId="4" borderId="0" xfId="2" applyNumberFormat="1" applyFont="1" applyFill="1" applyBorder="1" applyAlignment="1">
      <alignment horizontal="left" vertical="center" wrapText="1"/>
    </xf>
    <xf numFmtId="166" fontId="5" fillId="2" borderId="0" xfId="2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8" fontId="8" fillId="0" borderId="2" xfId="0" applyNumberFormat="1" applyFont="1" applyBorder="1" applyAlignment="1">
      <alignment horizontal="left" vertical="center"/>
    </xf>
    <xf numFmtId="8" fontId="8" fillId="0" borderId="3" xfId="0" applyNumberFormat="1" applyFont="1" applyBorder="1" applyAlignment="1">
      <alignment horizontal="left" vertical="center"/>
    </xf>
    <xf numFmtId="8" fontId="7" fillId="0" borderId="12" xfId="0" applyNumberFormat="1" applyFont="1" applyBorder="1" applyAlignment="1">
      <alignment horizontal="left" vertical="center"/>
    </xf>
    <xf numFmtId="8" fontId="7" fillId="0" borderId="13" xfId="0" applyNumberFormat="1" applyFont="1" applyBorder="1" applyAlignment="1">
      <alignment horizontal="left" vertical="center"/>
    </xf>
    <xf numFmtId="8" fontId="7" fillId="0" borderId="0" xfId="0" applyNumberFormat="1" applyFont="1" applyBorder="1" applyAlignment="1">
      <alignment horizontal="left" vertical="center"/>
    </xf>
    <xf numFmtId="8" fontId="7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6" fontId="6" fillId="0" borderId="0" xfId="2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right" vertical="center"/>
    </xf>
    <xf numFmtId="0" fontId="6" fillId="0" borderId="0" xfId="2" applyFont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</cellXfs>
  <cellStyles count="3">
    <cellStyle name="Excel Built-in Normal" xfId="2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Normal="100" workbookViewId="0"/>
  </sheetViews>
  <sheetFormatPr baseColWidth="10" defaultRowHeight="16.5" x14ac:dyDescent="0.25"/>
  <cols>
    <col min="1" max="1" width="4.28515625" style="5" customWidth="1"/>
    <col min="2" max="2" width="21.42578125" style="5" customWidth="1"/>
    <col min="3" max="3" width="10" style="3" customWidth="1"/>
    <col min="4" max="5" width="5" style="3" customWidth="1"/>
    <col min="6" max="6" width="11.42578125" style="45" customWidth="1"/>
    <col min="7" max="7" width="10" style="51" bestFit="1" customWidth="1"/>
    <col min="8" max="8" width="7.140625" style="5" customWidth="1"/>
    <col min="9" max="9" width="14.28515625" style="5" customWidth="1"/>
    <col min="10" max="10" width="7.85546875" style="48" bestFit="1" customWidth="1"/>
    <col min="11" max="11" width="14.28515625" style="5" customWidth="1"/>
    <col min="12" max="12" width="11.42578125" style="45" customWidth="1"/>
    <col min="13" max="13" width="9.28515625" style="3" bestFit="1" customWidth="1"/>
    <col min="14" max="14" width="10" style="3" customWidth="1"/>
    <col min="15" max="15" width="12.85546875" style="3" customWidth="1"/>
    <col min="16" max="16" width="15.7109375" style="58" customWidth="1"/>
    <col min="17" max="17" width="15.7109375" style="5" customWidth="1"/>
    <col min="18" max="21" width="10.7109375" style="5" customWidth="1"/>
    <col min="22" max="16384" width="11.42578125" style="5"/>
  </cols>
  <sheetData>
    <row r="1" spans="1:23" s="30" customFormat="1" ht="29.25" customHeight="1" x14ac:dyDescent="0.25">
      <c r="B1" s="69" t="s">
        <v>47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5"/>
    </row>
    <row r="2" spans="1:23" s="1" customFormat="1" ht="16.5" customHeight="1" x14ac:dyDescent="0.25">
      <c r="B2" s="2" t="s">
        <v>43</v>
      </c>
      <c r="C2" s="66">
        <v>43867</v>
      </c>
      <c r="D2" s="66"/>
      <c r="E2" s="66"/>
      <c r="F2" s="67" t="s">
        <v>65</v>
      </c>
      <c r="G2" s="67"/>
      <c r="H2" s="67"/>
      <c r="I2" s="67"/>
      <c r="J2" s="67"/>
      <c r="K2" s="67"/>
      <c r="L2" s="67"/>
      <c r="M2" s="67"/>
      <c r="N2" s="67"/>
      <c r="O2" s="67"/>
      <c r="P2" s="56"/>
    </row>
    <row r="3" spans="1:23" s="31" customFormat="1" ht="16.5" customHeight="1" x14ac:dyDescent="0.25">
      <c r="B3" s="91" t="s">
        <v>44</v>
      </c>
      <c r="C3" s="31" t="s">
        <v>5</v>
      </c>
      <c r="D3" s="70" t="s">
        <v>17</v>
      </c>
      <c r="E3" s="70"/>
      <c r="F3" s="92" t="s">
        <v>45</v>
      </c>
      <c r="G3" s="92" t="s">
        <v>15</v>
      </c>
      <c r="H3" s="89" t="s">
        <v>3</v>
      </c>
      <c r="I3" s="89"/>
      <c r="J3" s="89"/>
      <c r="K3" s="92" t="s">
        <v>19</v>
      </c>
      <c r="L3" s="89" t="s">
        <v>11</v>
      </c>
      <c r="M3" s="68" t="s">
        <v>13</v>
      </c>
      <c r="N3" s="68" t="s">
        <v>62</v>
      </c>
      <c r="O3" s="93" t="s">
        <v>46</v>
      </c>
      <c r="P3" s="57"/>
    </row>
    <row r="4" spans="1:23" s="31" customFormat="1" x14ac:dyDescent="0.25">
      <c r="B4" s="91"/>
      <c r="C4" s="31" t="s">
        <v>2</v>
      </c>
      <c r="D4" s="31" t="s">
        <v>0</v>
      </c>
      <c r="E4" s="31" t="s">
        <v>1</v>
      </c>
      <c r="F4" s="92"/>
      <c r="G4" s="92"/>
      <c r="H4" s="89"/>
      <c r="I4" s="89"/>
      <c r="J4" s="89"/>
      <c r="K4" s="92"/>
      <c r="L4" s="89"/>
      <c r="M4" s="68"/>
      <c r="N4" s="68"/>
      <c r="O4" s="93"/>
      <c r="P4" s="57"/>
    </row>
    <row r="5" spans="1:23" s="3" customFormat="1" ht="17.25" thickBot="1" x14ac:dyDescent="0.3">
      <c r="F5" s="45"/>
      <c r="G5" s="51"/>
      <c r="J5" s="48"/>
      <c r="L5" s="45"/>
      <c r="P5" s="58"/>
    </row>
    <row r="6" spans="1:23" ht="17.25" thickBot="1" x14ac:dyDescent="0.3">
      <c r="A6" s="32">
        <v>1</v>
      </c>
      <c r="B6" s="33" t="s">
        <v>21</v>
      </c>
      <c r="C6" s="34">
        <v>1</v>
      </c>
      <c r="D6" s="43"/>
      <c r="E6" s="34">
        <v>1</v>
      </c>
      <c r="F6" s="47">
        <f t="shared" ref="F6:F30" si="0">(C6*5*$T$13)+(D6*$T$14)+(E6*$T$14)</f>
        <v>4.9400000000000004</v>
      </c>
      <c r="G6" s="52">
        <f t="shared" ref="G6:G30" si="1">(C6*5*5.67)+(D6*8.1)+(E6*8.1)</f>
        <v>36.450000000000003</v>
      </c>
      <c r="H6" s="33" t="s">
        <v>48</v>
      </c>
      <c r="I6" s="36" t="s">
        <v>48</v>
      </c>
      <c r="J6" s="47">
        <v>0</v>
      </c>
      <c r="K6" s="35">
        <v>0</v>
      </c>
      <c r="L6" s="47">
        <f>F6+K6+J6</f>
        <v>4.9400000000000004</v>
      </c>
      <c r="M6" s="61" t="s">
        <v>59</v>
      </c>
      <c r="N6" s="35">
        <v>0</v>
      </c>
      <c r="O6" s="35"/>
      <c r="P6" s="59"/>
      <c r="Q6" s="7" t="s">
        <v>6</v>
      </c>
      <c r="R6" s="87" t="s">
        <v>5</v>
      </c>
      <c r="S6" s="88"/>
      <c r="T6" s="87" t="s">
        <v>9</v>
      </c>
      <c r="U6" s="88"/>
    </row>
    <row r="7" spans="1:23" x14ac:dyDescent="0.25">
      <c r="A7" s="32">
        <v>2</v>
      </c>
      <c r="B7" s="39" t="s">
        <v>22</v>
      </c>
      <c r="C7" s="40">
        <v>3</v>
      </c>
      <c r="D7" s="40">
        <v>3</v>
      </c>
      <c r="E7" s="40">
        <v>3</v>
      </c>
      <c r="F7" s="47">
        <f t="shared" si="0"/>
        <v>19.29</v>
      </c>
      <c r="G7" s="52">
        <f t="shared" si="1"/>
        <v>133.64999999999998</v>
      </c>
      <c r="H7" s="33" t="s">
        <v>4</v>
      </c>
      <c r="I7" s="36" t="s">
        <v>38</v>
      </c>
      <c r="J7" s="47">
        <v>1.55</v>
      </c>
      <c r="K7" s="35">
        <v>0.1</v>
      </c>
      <c r="L7" s="47">
        <f t="shared" ref="L7:L30" si="2">F7+K7+J7</f>
        <v>20.94</v>
      </c>
      <c r="M7" s="61" t="s">
        <v>59</v>
      </c>
      <c r="N7" s="35">
        <f>(5*C7+D7+E7)*0.2</f>
        <v>4.2</v>
      </c>
      <c r="O7" s="35"/>
      <c r="P7" s="59"/>
      <c r="Q7" s="8" t="s">
        <v>10</v>
      </c>
      <c r="R7" s="9" t="s">
        <v>7</v>
      </c>
      <c r="S7" s="10">
        <v>18.95</v>
      </c>
      <c r="T7" s="9" t="s">
        <v>7</v>
      </c>
      <c r="U7" s="11">
        <v>32.950000000000003</v>
      </c>
    </row>
    <row r="8" spans="1:23" x14ac:dyDescent="0.25">
      <c r="A8" s="32">
        <v>3</v>
      </c>
      <c r="B8" s="62" t="s">
        <v>23</v>
      </c>
      <c r="C8" s="63">
        <v>4</v>
      </c>
      <c r="D8" s="42">
        <v>2</v>
      </c>
      <c r="E8" s="42">
        <v>2</v>
      </c>
      <c r="F8" s="47">
        <f t="shared" si="0"/>
        <v>19.760000000000002</v>
      </c>
      <c r="G8" s="52">
        <f t="shared" si="1"/>
        <v>145.79999999999998</v>
      </c>
      <c r="H8" s="33" t="s">
        <v>24</v>
      </c>
      <c r="I8" s="36"/>
      <c r="J8" s="47">
        <f>5.49*(G8/$G$32)</f>
        <v>1.1041340782122904</v>
      </c>
      <c r="K8" s="35">
        <v>0.1</v>
      </c>
      <c r="L8" s="47">
        <f t="shared" si="2"/>
        <v>20.964134078212293</v>
      </c>
      <c r="M8" s="61" t="s">
        <v>59</v>
      </c>
      <c r="N8" s="35">
        <f>(5*C8+D8+E8)*0.2</f>
        <v>4.8000000000000007</v>
      </c>
      <c r="O8" s="35"/>
      <c r="P8" s="59"/>
      <c r="Q8" s="46">
        <f>Q12/Q11</f>
        <v>0.93810240963855429</v>
      </c>
      <c r="R8" s="9" t="s">
        <v>8</v>
      </c>
      <c r="S8" s="13">
        <f>S7/40</f>
        <v>0.47375</v>
      </c>
      <c r="T8" s="9" t="s">
        <v>8</v>
      </c>
      <c r="U8" s="13">
        <f>U7/25</f>
        <v>1.3180000000000001</v>
      </c>
    </row>
    <row r="9" spans="1:23" ht="17.25" thickBot="1" x14ac:dyDescent="0.3">
      <c r="A9" s="33">
        <v>4</v>
      </c>
      <c r="B9" s="41" t="s">
        <v>25</v>
      </c>
      <c r="C9" s="42">
        <v>2</v>
      </c>
      <c r="D9" s="34">
        <v>1</v>
      </c>
      <c r="E9" s="34">
        <v>1</v>
      </c>
      <c r="F9" s="47">
        <f t="shared" si="0"/>
        <v>9.8800000000000008</v>
      </c>
      <c r="G9" s="52">
        <f t="shared" si="1"/>
        <v>72.899999999999991</v>
      </c>
      <c r="H9" s="33" t="s">
        <v>4</v>
      </c>
      <c r="I9" s="36" t="s">
        <v>38</v>
      </c>
      <c r="J9" s="47">
        <v>1.55</v>
      </c>
      <c r="K9" s="35">
        <v>0.1</v>
      </c>
      <c r="L9" s="47">
        <f>F9+K9+J9+(0.5+0.5+0.5+0.5+0.25)+(1.7+1.9+2)-1.5</f>
        <v>17.880000000000003</v>
      </c>
      <c r="M9" s="61" t="s">
        <v>59</v>
      </c>
      <c r="N9" s="35">
        <f t="shared" ref="N9:N27" si="3">(5*C9+D9+E9)*0.2</f>
        <v>2.4000000000000004</v>
      </c>
      <c r="O9" s="35"/>
      <c r="P9" s="60" t="s">
        <v>61</v>
      </c>
      <c r="Q9" s="14"/>
      <c r="R9" s="15"/>
      <c r="S9" s="16"/>
      <c r="T9" s="15"/>
      <c r="U9" s="16"/>
    </row>
    <row r="10" spans="1:23" x14ac:dyDescent="0.25">
      <c r="A10" s="32">
        <v>5</v>
      </c>
      <c r="B10" s="41" t="s">
        <v>26</v>
      </c>
      <c r="C10" s="42">
        <v>2</v>
      </c>
      <c r="D10" s="42">
        <v>2</v>
      </c>
      <c r="E10" s="42">
        <v>2</v>
      </c>
      <c r="F10" s="47">
        <f t="shared" si="0"/>
        <v>12.860000000000001</v>
      </c>
      <c r="G10" s="52">
        <f t="shared" si="1"/>
        <v>89.100000000000009</v>
      </c>
      <c r="H10" s="33" t="s">
        <v>24</v>
      </c>
      <c r="I10" s="36"/>
      <c r="J10" s="47">
        <f>5.49*(G10/$G$32)</f>
        <v>0.67474860335195541</v>
      </c>
      <c r="K10" s="35">
        <v>0.1</v>
      </c>
      <c r="L10" s="47">
        <f t="shared" si="2"/>
        <v>13.634748603351957</v>
      </c>
      <c r="M10" s="61" t="s">
        <v>59</v>
      </c>
      <c r="N10" s="35">
        <f t="shared" si="3"/>
        <v>2.8000000000000003</v>
      </c>
      <c r="O10" s="35"/>
      <c r="P10" s="59"/>
      <c r="Q10" s="14" t="s">
        <v>14</v>
      </c>
      <c r="R10" s="17" t="s">
        <v>20</v>
      </c>
      <c r="S10" s="11">
        <f>17.9+7*2.95</f>
        <v>38.549999999999997</v>
      </c>
      <c r="T10" s="18" t="s">
        <v>16</v>
      </c>
      <c r="U10" s="19">
        <v>23.7</v>
      </c>
    </row>
    <row r="11" spans="1:23" ht="17.25" thickBot="1" x14ac:dyDescent="0.3">
      <c r="A11" s="32">
        <v>6</v>
      </c>
      <c r="B11" s="33" t="s">
        <v>27</v>
      </c>
      <c r="C11" s="34">
        <v>1</v>
      </c>
      <c r="D11" s="34">
        <v>1</v>
      </c>
      <c r="E11" s="43"/>
      <c r="F11" s="47">
        <f t="shared" si="0"/>
        <v>4.9400000000000004</v>
      </c>
      <c r="G11" s="52">
        <f t="shared" si="1"/>
        <v>36.450000000000003</v>
      </c>
      <c r="H11" s="33" t="s">
        <v>4</v>
      </c>
      <c r="I11" s="36" t="s">
        <v>37</v>
      </c>
      <c r="J11" s="47">
        <v>0.95</v>
      </c>
      <c r="K11" s="35">
        <v>0.1</v>
      </c>
      <c r="L11" s="47">
        <f t="shared" si="2"/>
        <v>5.99</v>
      </c>
      <c r="M11" s="61" t="s">
        <v>59</v>
      </c>
      <c r="N11" s="35">
        <f t="shared" si="3"/>
        <v>1.2000000000000002</v>
      </c>
      <c r="O11" s="35"/>
      <c r="P11" s="59"/>
      <c r="Q11" s="20">
        <f>5*S7+2*U7+S10</f>
        <v>199.2</v>
      </c>
      <c r="R11" s="21" t="s">
        <v>8</v>
      </c>
      <c r="S11" s="22">
        <f>S10/250</f>
        <v>0.15419999999999998</v>
      </c>
      <c r="T11" s="23" t="s">
        <v>8</v>
      </c>
      <c r="U11" s="24">
        <f>ROUNDUP((U10/250),2)</f>
        <v>9.9999999999999992E-2</v>
      </c>
    </row>
    <row r="12" spans="1:23" x14ac:dyDescent="0.25">
      <c r="A12" s="32">
        <v>7</v>
      </c>
      <c r="B12" s="33" t="s">
        <v>28</v>
      </c>
      <c r="C12" s="34">
        <v>1</v>
      </c>
      <c r="D12" s="34">
        <v>1</v>
      </c>
      <c r="E12" s="34">
        <v>1</v>
      </c>
      <c r="F12" s="47">
        <f t="shared" si="0"/>
        <v>6.4300000000000006</v>
      </c>
      <c r="G12" s="52">
        <f t="shared" si="1"/>
        <v>44.550000000000004</v>
      </c>
      <c r="H12" s="33" t="s">
        <v>24</v>
      </c>
      <c r="I12" s="36"/>
      <c r="J12" s="47">
        <f>5.49*(G12/$G$32)</f>
        <v>0.33737430167597771</v>
      </c>
      <c r="K12" s="35">
        <v>0.1</v>
      </c>
      <c r="L12" s="47">
        <f t="shared" si="2"/>
        <v>6.8673743016759783</v>
      </c>
      <c r="M12" s="61" t="s">
        <v>59</v>
      </c>
      <c r="N12" s="35">
        <f t="shared" si="3"/>
        <v>1.4000000000000001</v>
      </c>
      <c r="O12" s="35"/>
      <c r="P12" s="59"/>
      <c r="Q12" s="12">
        <v>186.87</v>
      </c>
      <c r="R12" s="81"/>
      <c r="S12" s="82"/>
      <c r="T12" s="85"/>
      <c r="U12" s="86"/>
    </row>
    <row r="13" spans="1:23" x14ac:dyDescent="0.25">
      <c r="A13" s="32">
        <v>8</v>
      </c>
      <c r="B13" s="33" t="s">
        <v>29</v>
      </c>
      <c r="C13" s="34">
        <v>1</v>
      </c>
      <c r="D13" s="34">
        <v>1</v>
      </c>
      <c r="E13" s="43"/>
      <c r="F13" s="47">
        <f t="shared" si="0"/>
        <v>4.9400000000000004</v>
      </c>
      <c r="G13" s="52">
        <f t="shared" si="1"/>
        <v>36.450000000000003</v>
      </c>
      <c r="H13" s="33" t="s">
        <v>24</v>
      </c>
      <c r="I13" s="36"/>
      <c r="J13" s="47">
        <f>5.49*(G13/$G$32)</f>
        <v>0.27603351955307265</v>
      </c>
      <c r="K13" s="35">
        <v>0.1</v>
      </c>
      <c r="L13" s="47">
        <f t="shared" si="2"/>
        <v>5.3160335195530726</v>
      </c>
      <c r="M13" s="61" t="s">
        <v>59</v>
      </c>
      <c r="N13" s="35">
        <f t="shared" si="3"/>
        <v>1.2000000000000002</v>
      </c>
      <c r="O13" s="35"/>
      <c r="P13" s="59"/>
      <c r="Q13" s="25"/>
      <c r="R13" s="79" t="s">
        <v>5</v>
      </c>
      <c r="S13" s="80"/>
      <c r="T13" s="75">
        <f>ROUNDUP((S8+S11)*Q8+U11,2)</f>
        <v>0.69000000000000006</v>
      </c>
      <c r="U13" s="76"/>
      <c r="V13" s="54"/>
    </row>
    <row r="14" spans="1:23" ht="17.25" thickBot="1" x14ac:dyDescent="0.3">
      <c r="A14" s="32">
        <v>9</v>
      </c>
      <c r="B14" s="33" t="s">
        <v>30</v>
      </c>
      <c r="C14" s="34">
        <v>1</v>
      </c>
      <c r="D14" s="34">
        <v>1</v>
      </c>
      <c r="E14" s="34">
        <v>1</v>
      </c>
      <c r="F14" s="47">
        <f t="shared" si="0"/>
        <v>6.4300000000000006</v>
      </c>
      <c r="G14" s="52">
        <f t="shared" si="1"/>
        <v>44.550000000000004</v>
      </c>
      <c r="H14" s="33" t="s">
        <v>4</v>
      </c>
      <c r="I14" s="36" t="s">
        <v>37</v>
      </c>
      <c r="J14" s="47">
        <v>0.95</v>
      </c>
      <c r="K14" s="35">
        <v>0.1</v>
      </c>
      <c r="L14" s="47">
        <f t="shared" si="2"/>
        <v>7.48</v>
      </c>
      <c r="M14" s="61" t="s">
        <v>59</v>
      </c>
      <c r="N14" s="35">
        <f t="shared" si="3"/>
        <v>1.4000000000000001</v>
      </c>
      <c r="O14" s="35"/>
      <c r="P14" s="59"/>
      <c r="Q14" s="14"/>
      <c r="R14" s="83" t="s">
        <v>9</v>
      </c>
      <c r="S14" s="84"/>
      <c r="T14" s="73">
        <f>ROUNDUP((U8+S11)*Q8+U11,2)</f>
        <v>1.49</v>
      </c>
      <c r="U14" s="74"/>
    </row>
    <row r="15" spans="1:23" ht="18" thickTop="1" thickBot="1" x14ac:dyDescent="0.3">
      <c r="A15" s="32">
        <v>10</v>
      </c>
      <c r="B15" s="41" t="s">
        <v>31</v>
      </c>
      <c r="C15" s="42">
        <v>2</v>
      </c>
      <c r="D15" s="42">
        <v>2</v>
      </c>
      <c r="E15" s="42">
        <v>2</v>
      </c>
      <c r="F15" s="47">
        <f t="shared" si="0"/>
        <v>12.860000000000001</v>
      </c>
      <c r="G15" s="52">
        <f t="shared" si="1"/>
        <v>89.100000000000009</v>
      </c>
      <c r="H15" s="33" t="s">
        <v>4</v>
      </c>
      <c r="I15" s="36" t="s">
        <v>38</v>
      </c>
      <c r="J15" s="47">
        <v>1.55</v>
      </c>
      <c r="K15" s="35">
        <v>0.1</v>
      </c>
      <c r="L15" s="47">
        <f t="shared" si="2"/>
        <v>14.510000000000002</v>
      </c>
      <c r="M15" s="61" t="s">
        <v>59</v>
      </c>
      <c r="N15" s="35">
        <f t="shared" si="3"/>
        <v>2.8000000000000003</v>
      </c>
      <c r="O15" s="35"/>
      <c r="P15" s="59"/>
      <c r="Q15" s="26"/>
      <c r="R15" s="77" t="s">
        <v>12</v>
      </c>
      <c r="S15" s="78"/>
      <c r="T15" s="71">
        <f>5*T13+2*T14</f>
        <v>6.43</v>
      </c>
      <c r="U15" s="72"/>
      <c r="W15" s="54"/>
    </row>
    <row r="16" spans="1:23" x14ac:dyDescent="0.25">
      <c r="A16" s="32">
        <v>11</v>
      </c>
      <c r="B16" s="33" t="s">
        <v>32</v>
      </c>
      <c r="C16" s="34">
        <v>1</v>
      </c>
      <c r="D16" s="34">
        <v>1</v>
      </c>
      <c r="E16" s="34">
        <v>1</v>
      </c>
      <c r="F16" s="47">
        <f t="shared" si="0"/>
        <v>6.4300000000000006</v>
      </c>
      <c r="G16" s="52">
        <f t="shared" si="1"/>
        <v>44.550000000000004</v>
      </c>
      <c r="H16" s="33" t="s">
        <v>4</v>
      </c>
      <c r="I16" s="36" t="s">
        <v>37</v>
      </c>
      <c r="J16" s="47">
        <v>0.95</v>
      </c>
      <c r="K16" s="35">
        <v>0.1</v>
      </c>
      <c r="L16" s="47">
        <f t="shared" si="2"/>
        <v>7.48</v>
      </c>
      <c r="M16" s="61" t="s">
        <v>59</v>
      </c>
      <c r="N16" s="35">
        <f t="shared" si="3"/>
        <v>1.4000000000000001</v>
      </c>
      <c r="O16" s="35"/>
      <c r="P16" s="59"/>
      <c r="S16" s="27" t="s">
        <v>12</v>
      </c>
      <c r="T16" s="5" t="s">
        <v>35</v>
      </c>
    </row>
    <row r="17" spans="1:20" x14ac:dyDescent="0.25">
      <c r="A17" s="32">
        <v>12</v>
      </c>
      <c r="B17" s="33" t="s">
        <v>33</v>
      </c>
      <c r="C17" s="34">
        <v>1</v>
      </c>
      <c r="D17" s="34">
        <v>1</v>
      </c>
      <c r="E17" s="34">
        <v>1</v>
      </c>
      <c r="F17" s="47">
        <f t="shared" si="0"/>
        <v>6.4300000000000006</v>
      </c>
      <c r="G17" s="52">
        <f t="shared" si="1"/>
        <v>44.550000000000004</v>
      </c>
      <c r="H17" s="33" t="s">
        <v>4</v>
      </c>
      <c r="I17" s="36" t="s">
        <v>37</v>
      </c>
      <c r="J17" s="47">
        <v>0.95</v>
      </c>
      <c r="K17" s="35">
        <v>0.1</v>
      </c>
      <c r="L17" s="47">
        <f t="shared" si="2"/>
        <v>7.48</v>
      </c>
      <c r="M17" s="61" t="s">
        <v>59</v>
      </c>
      <c r="N17" s="35">
        <f t="shared" si="3"/>
        <v>1.4000000000000001</v>
      </c>
      <c r="O17" s="35"/>
      <c r="P17" s="59"/>
      <c r="R17" s="28"/>
      <c r="S17" s="28"/>
      <c r="T17" s="5" t="s">
        <v>36</v>
      </c>
    </row>
    <row r="18" spans="1:20" x14ac:dyDescent="0.25">
      <c r="A18" s="32">
        <v>13</v>
      </c>
      <c r="B18" s="33" t="s">
        <v>34</v>
      </c>
      <c r="C18" s="34">
        <v>1</v>
      </c>
      <c r="D18" s="43"/>
      <c r="E18" s="34">
        <v>1</v>
      </c>
      <c r="F18" s="47">
        <f t="shared" si="0"/>
        <v>4.9400000000000004</v>
      </c>
      <c r="G18" s="52">
        <f t="shared" si="1"/>
        <v>36.450000000000003</v>
      </c>
      <c r="H18" s="33" t="s">
        <v>24</v>
      </c>
      <c r="I18" s="36"/>
      <c r="J18" s="47">
        <f>5.49*(G18/$G$32)</f>
        <v>0.27603351955307265</v>
      </c>
      <c r="K18" s="35">
        <v>0.1</v>
      </c>
      <c r="L18" s="47">
        <f t="shared" si="2"/>
        <v>5.3160335195530726</v>
      </c>
      <c r="M18" s="61" t="s">
        <v>59</v>
      </c>
      <c r="N18" s="35">
        <f t="shared" si="3"/>
        <v>1.2000000000000002</v>
      </c>
      <c r="O18" s="35"/>
      <c r="P18" s="59"/>
      <c r="S18" s="29"/>
    </row>
    <row r="19" spans="1:20" x14ac:dyDescent="0.25">
      <c r="A19" s="33">
        <v>14</v>
      </c>
      <c r="B19" s="41" t="s">
        <v>39</v>
      </c>
      <c r="C19" s="42">
        <v>2</v>
      </c>
      <c r="D19" s="42">
        <v>2</v>
      </c>
      <c r="E19" s="42">
        <v>2</v>
      </c>
      <c r="F19" s="47">
        <f t="shared" si="0"/>
        <v>12.860000000000001</v>
      </c>
      <c r="G19" s="52">
        <f t="shared" si="1"/>
        <v>89.100000000000009</v>
      </c>
      <c r="H19" s="33" t="s">
        <v>4</v>
      </c>
      <c r="I19" s="36" t="s">
        <v>38</v>
      </c>
      <c r="J19" s="47">
        <v>1.55</v>
      </c>
      <c r="K19" s="35">
        <v>0.1</v>
      </c>
      <c r="L19" s="47">
        <f>F19+K19+J19+(0.5+0.5)</f>
        <v>15.510000000000002</v>
      </c>
      <c r="M19" s="61" t="s">
        <v>59</v>
      </c>
      <c r="N19" s="35">
        <f t="shared" si="3"/>
        <v>2.8000000000000003</v>
      </c>
      <c r="O19" s="35"/>
      <c r="P19" s="60" t="s">
        <v>58</v>
      </c>
      <c r="Q19" s="27" t="s">
        <v>13</v>
      </c>
      <c r="R19" s="90">
        <v>43845</v>
      </c>
      <c r="S19" s="90"/>
    </row>
    <row r="20" spans="1:20" x14ac:dyDescent="0.25">
      <c r="A20" s="32">
        <v>15</v>
      </c>
      <c r="B20" s="41" t="s">
        <v>40</v>
      </c>
      <c r="C20" s="42">
        <v>2</v>
      </c>
      <c r="D20" s="42">
        <v>2</v>
      </c>
      <c r="E20" s="42">
        <v>2</v>
      </c>
      <c r="F20" s="47">
        <f t="shared" si="0"/>
        <v>12.860000000000001</v>
      </c>
      <c r="G20" s="52">
        <f t="shared" si="1"/>
        <v>89.100000000000009</v>
      </c>
      <c r="H20" s="33" t="s">
        <v>24</v>
      </c>
      <c r="I20" s="36"/>
      <c r="J20" s="47">
        <f>5.49*(G20/$G$32)</f>
        <v>0.67474860335195541</v>
      </c>
      <c r="K20" s="35">
        <v>0.1</v>
      </c>
      <c r="L20" s="47">
        <f t="shared" si="2"/>
        <v>13.634748603351957</v>
      </c>
      <c r="M20" s="61" t="s">
        <v>59</v>
      </c>
      <c r="N20" s="35">
        <f t="shared" si="3"/>
        <v>2.8000000000000003</v>
      </c>
      <c r="O20" s="35"/>
      <c r="P20" s="59"/>
      <c r="Q20" s="27" t="s">
        <v>52</v>
      </c>
      <c r="R20" s="90">
        <v>43855</v>
      </c>
      <c r="S20" s="90"/>
    </row>
    <row r="21" spans="1:20" x14ac:dyDescent="0.25">
      <c r="A21" s="32">
        <v>16</v>
      </c>
      <c r="B21" s="41" t="s">
        <v>41</v>
      </c>
      <c r="C21" s="42">
        <v>2</v>
      </c>
      <c r="D21" s="34">
        <v>1</v>
      </c>
      <c r="E21" s="43"/>
      <c r="F21" s="47">
        <f t="shared" si="0"/>
        <v>8.39</v>
      </c>
      <c r="G21" s="52">
        <f t="shared" si="1"/>
        <v>64.8</v>
      </c>
      <c r="H21" s="33" t="s">
        <v>24</v>
      </c>
      <c r="I21" s="36"/>
      <c r="J21" s="47">
        <f>5.49*(G21/$G$32)</f>
        <v>0.49072625698324018</v>
      </c>
      <c r="K21" s="35">
        <v>0.1</v>
      </c>
      <c r="L21" s="47">
        <f t="shared" si="2"/>
        <v>8.9807262569832407</v>
      </c>
      <c r="M21" s="61" t="s">
        <v>59</v>
      </c>
      <c r="N21" s="35">
        <f t="shared" si="3"/>
        <v>2.2000000000000002</v>
      </c>
      <c r="O21" s="37"/>
      <c r="P21" s="59"/>
    </row>
    <row r="22" spans="1:20" x14ac:dyDescent="0.25">
      <c r="A22" s="32">
        <v>17</v>
      </c>
      <c r="B22" s="33" t="s">
        <v>42</v>
      </c>
      <c r="C22" s="38">
        <v>1</v>
      </c>
      <c r="D22" s="38">
        <v>1</v>
      </c>
      <c r="E22" s="34">
        <v>1</v>
      </c>
      <c r="F22" s="47">
        <f t="shared" si="0"/>
        <v>6.4300000000000006</v>
      </c>
      <c r="G22" s="52">
        <f t="shared" si="1"/>
        <v>44.550000000000004</v>
      </c>
      <c r="H22" s="32" t="s">
        <v>4</v>
      </c>
      <c r="I22" s="36" t="s">
        <v>37</v>
      </c>
      <c r="J22" s="47">
        <v>0.95</v>
      </c>
      <c r="K22" s="35">
        <v>0.1</v>
      </c>
      <c r="L22" s="47">
        <f t="shared" si="2"/>
        <v>7.48</v>
      </c>
      <c r="M22" s="61" t="s">
        <v>59</v>
      </c>
      <c r="N22" s="35">
        <f t="shared" si="3"/>
        <v>1.4000000000000001</v>
      </c>
      <c r="O22" s="37"/>
      <c r="P22" s="59"/>
    </row>
    <row r="23" spans="1:20" x14ac:dyDescent="0.25">
      <c r="A23" s="32">
        <v>18</v>
      </c>
      <c r="B23" s="41" t="s">
        <v>53</v>
      </c>
      <c r="C23" s="42">
        <v>2</v>
      </c>
      <c r="D23" s="42">
        <v>2</v>
      </c>
      <c r="E23" s="42">
        <v>2</v>
      </c>
      <c r="F23" s="47">
        <f t="shared" si="0"/>
        <v>12.860000000000001</v>
      </c>
      <c r="G23" s="52">
        <f t="shared" si="1"/>
        <v>89.100000000000009</v>
      </c>
      <c r="H23" s="32" t="s">
        <v>24</v>
      </c>
      <c r="I23" s="36"/>
      <c r="J23" s="47">
        <f>5.49*(G23/$G$32)</f>
        <v>0.67474860335195541</v>
      </c>
      <c r="K23" s="35">
        <v>0.1</v>
      </c>
      <c r="L23" s="47">
        <f t="shared" si="2"/>
        <v>13.634748603351957</v>
      </c>
      <c r="M23" s="61" t="s">
        <v>59</v>
      </c>
      <c r="N23" s="35">
        <f t="shared" si="3"/>
        <v>2.8000000000000003</v>
      </c>
      <c r="O23" s="37"/>
      <c r="P23" s="59"/>
      <c r="T23" s="29"/>
    </row>
    <row r="24" spans="1:20" x14ac:dyDescent="0.25">
      <c r="A24" s="32">
        <v>19</v>
      </c>
      <c r="B24" s="41" t="s">
        <v>54</v>
      </c>
      <c r="C24" s="42">
        <v>2</v>
      </c>
      <c r="D24" s="43"/>
      <c r="E24" s="38">
        <v>1</v>
      </c>
      <c r="F24" s="47">
        <f t="shared" si="0"/>
        <v>8.39</v>
      </c>
      <c r="G24" s="52">
        <f t="shared" si="1"/>
        <v>64.8</v>
      </c>
      <c r="H24" s="32" t="s">
        <v>4</v>
      </c>
      <c r="I24" s="36" t="s">
        <v>37</v>
      </c>
      <c r="J24" s="47">
        <v>0.95</v>
      </c>
      <c r="K24" s="35">
        <v>0.1</v>
      </c>
      <c r="L24" s="47">
        <f t="shared" si="2"/>
        <v>9.44</v>
      </c>
      <c r="M24" s="61" t="s">
        <v>59</v>
      </c>
      <c r="N24" s="35">
        <f t="shared" si="3"/>
        <v>2.2000000000000002</v>
      </c>
      <c r="O24" s="37"/>
      <c r="P24" s="59"/>
    </row>
    <row r="25" spans="1:20" x14ac:dyDescent="0.25">
      <c r="A25" s="32">
        <v>20</v>
      </c>
      <c r="B25" s="41" t="s">
        <v>55</v>
      </c>
      <c r="C25" s="42">
        <v>2</v>
      </c>
      <c r="D25" s="38">
        <v>1</v>
      </c>
      <c r="E25" s="38">
        <v>1</v>
      </c>
      <c r="F25" s="47">
        <f t="shared" si="0"/>
        <v>9.8800000000000008</v>
      </c>
      <c r="G25" s="52">
        <f t="shared" si="1"/>
        <v>72.899999999999991</v>
      </c>
      <c r="H25" s="32" t="s">
        <v>24</v>
      </c>
      <c r="I25" s="36"/>
      <c r="J25" s="47">
        <f>5.49*(G25/$G$32)</f>
        <v>0.55206703910614519</v>
      </c>
      <c r="K25" s="35">
        <v>0.1</v>
      </c>
      <c r="L25" s="47">
        <f>F25+K25+J25-2.2</f>
        <v>8.3320670391061462</v>
      </c>
      <c r="M25" s="61" t="s">
        <v>59</v>
      </c>
      <c r="N25" s="35">
        <f t="shared" si="3"/>
        <v>2.4000000000000004</v>
      </c>
      <c r="O25" s="37"/>
      <c r="P25" s="59"/>
    </row>
    <row r="26" spans="1:20" x14ac:dyDescent="0.25">
      <c r="A26" s="32">
        <v>21</v>
      </c>
      <c r="B26" s="41" t="s">
        <v>56</v>
      </c>
      <c r="C26" s="42">
        <v>2</v>
      </c>
      <c r="D26" s="43"/>
      <c r="E26" s="43"/>
      <c r="F26" s="47">
        <f t="shared" si="0"/>
        <v>6.9</v>
      </c>
      <c r="G26" s="52">
        <f t="shared" si="1"/>
        <v>56.7</v>
      </c>
      <c r="H26" s="32" t="s">
        <v>4</v>
      </c>
      <c r="I26" s="36" t="s">
        <v>37</v>
      </c>
      <c r="J26" s="47">
        <v>0.95</v>
      </c>
      <c r="K26" s="35">
        <v>0.1</v>
      </c>
      <c r="L26" s="47">
        <f t="shared" si="2"/>
        <v>7.95</v>
      </c>
      <c r="M26" s="61" t="s">
        <v>59</v>
      </c>
      <c r="N26" s="35">
        <f t="shared" si="3"/>
        <v>2</v>
      </c>
      <c r="O26" s="37"/>
      <c r="P26" s="59"/>
    </row>
    <row r="27" spans="1:20" x14ac:dyDescent="0.25">
      <c r="A27" s="32">
        <v>22</v>
      </c>
      <c r="B27" s="33" t="s">
        <v>57</v>
      </c>
      <c r="C27" s="38">
        <v>1</v>
      </c>
      <c r="D27" s="43"/>
      <c r="E27" s="43"/>
      <c r="F27" s="47">
        <f t="shared" si="0"/>
        <v>3.45</v>
      </c>
      <c r="G27" s="52">
        <f t="shared" si="1"/>
        <v>28.35</v>
      </c>
      <c r="H27" s="32" t="s">
        <v>4</v>
      </c>
      <c r="I27" s="36" t="s">
        <v>37</v>
      </c>
      <c r="J27" s="47">
        <v>0.95</v>
      </c>
      <c r="K27" s="35">
        <v>0.1</v>
      </c>
      <c r="L27" s="47">
        <f t="shared" si="2"/>
        <v>4.5</v>
      </c>
      <c r="M27" s="61" t="s">
        <v>59</v>
      </c>
      <c r="N27" s="35">
        <f t="shared" si="3"/>
        <v>1</v>
      </c>
      <c r="O27" s="37"/>
      <c r="P27" s="59"/>
    </row>
    <row r="28" spans="1:20" x14ac:dyDescent="0.25">
      <c r="A28" s="32">
        <v>23</v>
      </c>
      <c r="B28" s="33" t="s">
        <v>60</v>
      </c>
      <c r="C28" s="38">
        <v>1</v>
      </c>
      <c r="D28" s="43"/>
      <c r="E28" s="43"/>
      <c r="F28" s="47">
        <f t="shared" si="0"/>
        <v>3.45</v>
      </c>
      <c r="G28" s="52">
        <f t="shared" si="1"/>
        <v>28.35</v>
      </c>
      <c r="H28" s="32" t="s">
        <v>4</v>
      </c>
      <c r="I28" s="36" t="s">
        <v>37</v>
      </c>
      <c r="J28" s="47">
        <v>0.95</v>
      </c>
      <c r="K28" s="35">
        <v>0.1</v>
      </c>
      <c r="L28" s="47">
        <f>F28+K28+J28</f>
        <v>4.5</v>
      </c>
      <c r="M28" s="61" t="s">
        <v>59</v>
      </c>
      <c r="N28" s="37">
        <v>0</v>
      </c>
      <c r="O28" s="37"/>
      <c r="P28" s="59"/>
    </row>
    <row r="29" spans="1:20" x14ac:dyDescent="0.25">
      <c r="A29" s="32">
        <v>24</v>
      </c>
      <c r="B29" s="33" t="s">
        <v>63</v>
      </c>
      <c r="C29" s="38">
        <v>1</v>
      </c>
      <c r="D29" s="43"/>
      <c r="E29" s="43"/>
      <c r="F29" s="47">
        <f t="shared" si="0"/>
        <v>3.45</v>
      </c>
      <c r="G29" s="52">
        <f t="shared" si="1"/>
        <v>28.35</v>
      </c>
      <c r="H29" s="32" t="s">
        <v>24</v>
      </c>
      <c r="I29" s="36"/>
      <c r="J29" s="47">
        <f>5.49*(G29/$G$32)</f>
        <v>0.21469273743016762</v>
      </c>
      <c r="K29" s="35">
        <v>0.1</v>
      </c>
      <c r="L29" s="47">
        <f t="shared" si="2"/>
        <v>3.7646927374301677</v>
      </c>
      <c r="M29" s="61" t="s">
        <v>59</v>
      </c>
      <c r="N29" s="37">
        <v>0</v>
      </c>
      <c r="O29" s="37"/>
      <c r="P29" s="59"/>
    </row>
    <row r="30" spans="1:20" x14ac:dyDescent="0.25">
      <c r="A30" s="32">
        <v>25</v>
      </c>
      <c r="B30" s="33" t="s">
        <v>64</v>
      </c>
      <c r="C30" s="38">
        <v>1</v>
      </c>
      <c r="D30" s="43"/>
      <c r="E30" s="43"/>
      <c r="F30" s="47">
        <f t="shared" si="0"/>
        <v>3.45</v>
      </c>
      <c r="G30" s="52">
        <f t="shared" si="1"/>
        <v>28.35</v>
      </c>
      <c r="H30" s="32" t="s">
        <v>24</v>
      </c>
      <c r="I30" s="36"/>
      <c r="J30" s="47">
        <f>5.49*(G30/$G$32)</f>
        <v>0.21469273743016762</v>
      </c>
      <c r="K30" s="35">
        <v>0.1</v>
      </c>
      <c r="L30" s="47">
        <f t="shared" si="2"/>
        <v>3.7646927374301677</v>
      </c>
      <c r="M30" s="61" t="s">
        <v>59</v>
      </c>
      <c r="N30" s="37">
        <v>0</v>
      </c>
      <c r="O30" s="37"/>
      <c r="P30" s="59"/>
    </row>
    <row r="31" spans="1:20" x14ac:dyDescent="0.25">
      <c r="B31" s="6"/>
      <c r="F31" s="48"/>
      <c r="I31" s="29"/>
      <c r="K31" s="4"/>
      <c r="L31" s="48"/>
      <c r="M31" s="4"/>
      <c r="N31" s="4"/>
    </row>
    <row r="32" spans="1:20" x14ac:dyDescent="0.25">
      <c r="A32" s="32"/>
      <c r="B32" s="32" t="s">
        <v>49</v>
      </c>
      <c r="C32" s="34">
        <f>SUM(C6:C30)</f>
        <v>40</v>
      </c>
      <c r="D32" s="34">
        <f>SUM(D6:D30)</f>
        <v>25</v>
      </c>
      <c r="E32" s="34">
        <f>SUM(E6:E30)</f>
        <v>25</v>
      </c>
      <c r="F32" s="49">
        <f>SUM(F6:F30)</f>
        <v>212.50000000000003</v>
      </c>
      <c r="G32" s="53">
        <f>SUMIF(H6:H30,"OLS",G6:G30)</f>
        <v>724.95</v>
      </c>
      <c r="H32" s="32">
        <f>COUNTIF(H6:H30,"OLS")</f>
        <v>11</v>
      </c>
      <c r="I32" s="44" t="s">
        <v>50</v>
      </c>
      <c r="J32" s="64">
        <f>SUM(J6:J30)</f>
        <v>20.239999999999995</v>
      </c>
      <c r="K32" s="64">
        <f>SUM(K6:K30)</f>
        <v>2.4000000000000008</v>
      </c>
      <c r="L32" s="64">
        <f>SUM(L6:L30)</f>
        <v>240.29000000000002</v>
      </c>
      <c r="M32" s="38"/>
      <c r="N32" s="64">
        <f t="shared" ref="N32" si="4">SUM(N6:N30)</f>
        <v>45.8</v>
      </c>
      <c r="O32" s="38"/>
    </row>
    <row r="33" spans="1:15" x14ac:dyDescent="0.25">
      <c r="A33" s="32"/>
      <c r="B33" s="32" t="s">
        <v>18</v>
      </c>
      <c r="C33" s="38">
        <f>40-C32</f>
        <v>0</v>
      </c>
      <c r="D33" s="38">
        <f>25-D32</f>
        <v>0</v>
      </c>
      <c r="E33" s="38">
        <f>25-E32</f>
        <v>0</v>
      </c>
      <c r="F33" s="50"/>
      <c r="G33" s="53"/>
      <c r="H33" s="32">
        <f>COUNTIF(H6:H30,"direkt")</f>
        <v>13</v>
      </c>
      <c r="I33" s="32" t="s">
        <v>51</v>
      </c>
      <c r="J33" s="65"/>
      <c r="K33" s="65"/>
      <c r="L33" s="65"/>
      <c r="M33" s="38"/>
      <c r="N33" s="65"/>
      <c r="O33" s="38"/>
    </row>
  </sheetData>
  <mergeCells count="29">
    <mergeCell ref="R20:S20"/>
    <mergeCell ref="R19:S19"/>
    <mergeCell ref="B3:B4"/>
    <mergeCell ref="F3:F4"/>
    <mergeCell ref="K3:K4"/>
    <mergeCell ref="G3:G4"/>
    <mergeCell ref="O3:O4"/>
    <mergeCell ref="M3:M4"/>
    <mergeCell ref="L3:L4"/>
    <mergeCell ref="B1:O1"/>
    <mergeCell ref="D3:E3"/>
    <mergeCell ref="T15:U15"/>
    <mergeCell ref="T14:U14"/>
    <mergeCell ref="T13:U13"/>
    <mergeCell ref="R15:S15"/>
    <mergeCell ref="R13:S13"/>
    <mergeCell ref="R12:S12"/>
    <mergeCell ref="R14:S14"/>
    <mergeCell ref="T12:U12"/>
    <mergeCell ref="T6:U6"/>
    <mergeCell ref="R6:S6"/>
    <mergeCell ref="H3:J4"/>
    <mergeCell ref="L32:L33"/>
    <mergeCell ref="K32:K33"/>
    <mergeCell ref="J32:J33"/>
    <mergeCell ref="C2:E2"/>
    <mergeCell ref="F2:O2"/>
    <mergeCell ref="N3:N4"/>
    <mergeCell ref="N32:N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Ullrich</dc:creator>
  <cp:lastModifiedBy>home</cp:lastModifiedBy>
  <dcterms:created xsi:type="dcterms:W3CDTF">2017-11-04T07:33:08Z</dcterms:created>
  <dcterms:modified xsi:type="dcterms:W3CDTF">2020-02-06T12:45:52Z</dcterms:modified>
</cp:coreProperties>
</file>