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mathi\Dropbox\Dokumente\4 BuM\Münzen\Excel-Tabellen und Dokument\Meine Beschaffungen\"/>
    </mc:Choice>
  </mc:AlternateContent>
  <xr:revisionPtr revIDLastSave="0" documentId="13_ncr:1_{44E9EE19-2673-4CC0-B485-8A011ABD9D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Tabelle1!$B$3:$W$30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5" i="1"/>
  <c r="O20" i="1"/>
  <c r="U22" i="1"/>
  <c r="H25" i="1"/>
  <c r="I25" i="1"/>
  <c r="O23" i="1"/>
  <c r="O12" i="1"/>
  <c r="O22" i="1"/>
  <c r="O19" i="1"/>
  <c r="O13" i="1"/>
  <c r="O16" i="1"/>
  <c r="O9" i="1"/>
  <c r="O15" i="1"/>
  <c r="O7" i="1"/>
  <c r="O8" i="1"/>
  <c r="W11" i="1"/>
  <c r="I7" i="1"/>
  <c r="P25" i="1" l="1"/>
  <c r="O11" i="1"/>
  <c r="I26" i="1" l="1"/>
  <c r="U10" i="1" l="1"/>
  <c r="U11" i="1" l="1"/>
  <c r="S11" i="1"/>
  <c r="S12" i="1" s="1"/>
  <c r="S8" i="1" s="1"/>
  <c r="J29" i="1"/>
  <c r="J28" i="1"/>
  <c r="E28" i="1"/>
  <c r="F28" i="1"/>
  <c r="G28" i="1"/>
  <c r="D28" i="1"/>
  <c r="C28" i="1"/>
  <c r="G29" i="1" l="1"/>
  <c r="I8" i="1"/>
  <c r="I28" i="1" s="1"/>
  <c r="L7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L21" i="1" l="1"/>
  <c r="L18" i="1"/>
  <c r="U20" i="1" l="1"/>
  <c r="L13" i="1" l="1"/>
  <c r="L14" i="1"/>
  <c r="L19" i="1"/>
  <c r="L11" i="1"/>
  <c r="L8" i="1"/>
  <c r="L28" i="1" l="1"/>
  <c r="U8" i="1"/>
  <c r="E29" i="1" l="1"/>
  <c r="D29" i="1"/>
  <c r="W8" i="1" l="1"/>
  <c r="V14" i="1" s="1"/>
  <c r="H26" i="1" l="1"/>
  <c r="H6" i="1"/>
  <c r="V15" i="1"/>
  <c r="F29" i="1"/>
  <c r="N26" i="1" l="1"/>
  <c r="P26" i="1" s="1"/>
  <c r="H22" i="1"/>
  <c r="N22" i="1" s="1"/>
  <c r="P22" i="1" s="1"/>
  <c r="U19" i="1"/>
  <c r="U23" i="1" s="1"/>
  <c r="H20" i="1" l="1"/>
  <c r="N20" i="1" s="1"/>
  <c r="P20" i="1" s="1"/>
  <c r="H23" i="1"/>
  <c r="N23" i="1" s="1"/>
  <c r="P23" i="1" s="1"/>
  <c r="H18" i="1"/>
  <c r="N18" i="1" s="1"/>
  <c r="P18" i="1" s="1"/>
  <c r="H13" i="1"/>
  <c r="N13" i="1" s="1"/>
  <c r="P13" i="1" s="1"/>
  <c r="H14" i="1"/>
  <c r="N14" i="1" s="1"/>
  <c r="P14" i="1" s="1"/>
  <c r="H9" i="1"/>
  <c r="N9" i="1" s="1"/>
  <c r="P9" i="1" s="1"/>
  <c r="H10" i="1"/>
  <c r="N10" i="1" s="1"/>
  <c r="P10" i="1" s="1"/>
  <c r="H12" i="1"/>
  <c r="N12" i="1" s="1"/>
  <c r="P12" i="1" s="1"/>
  <c r="H24" i="1"/>
  <c r="N24" i="1" s="1"/>
  <c r="P24" i="1" s="1"/>
  <c r="H15" i="1"/>
  <c r="N15" i="1" s="1"/>
  <c r="P15" i="1" s="1"/>
  <c r="H16" i="1"/>
  <c r="N16" i="1" s="1"/>
  <c r="P16" i="1" s="1"/>
  <c r="H19" i="1"/>
  <c r="N19" i="1" s="1"/>
  <c r="P19" i="1" s="1"/>
  <c r="H11" i="1"/>
  <c r="H7" i="1"/>
  <c r="H8" i="1"/>
  <c r="N8" i="1" s="1"/>
  <c r="P8" i="1" s="1"/>
  <c r="H21" i="1"/>
  <c r="N21" i="1" s="1"/>
  <c r="P21" i="1" s="1"/>
  <c r="H17" i="1"/>
  <c r="N17" i="1" s="1"/>
  <c r="P17" i="1" s="1"/>
  <c r="N7" i="1" l="1"/>
  <c r="P7" i="1" s="1"/>
  <c r="H28" i="1"/>
  <c r="N11" i="1"/>
  <c r="P11" i="1" s="1"/>
  <c r="N6" i="1"/>
  <c r="N28" i="1" l="1"/>
  <c r="P28" i="1"/>
  <c r="O6" i="1"/>
  <c r="O28" i="1" s="1"/>
</calcChain>
</file>

<file path=xl/sharedStrings.xml><?xml version="1.0" encoding="utf-8"?>
<sst xmlns="http://schemas.openxmlformats.org/spreadsheetml/2006/main" count="104" uniqueCount="69">
  <si>
    <t>Quarter</t>
  </si>
  <si>
    <t>Kosten</t>
  </si>
  <si>
    <t>Rolle</t>
  </si>
  <si>
    <t>1 Stück</t>
  </si>
  <si>
    <t>Dollar</t>
  </si>
  <si>
    <t>Wechselkurs</t>
  </si>
  <si>
    <t>Gesamt</t>
  </si>
  <si>
    <t>1 Satz</t>
  </si>
  <si>
    <t>bezahlt</t>
  </si>
  <si>
    <t>Kosten USA</t>
  </si>
  <si>
    <t>UPS</t>
  </si>
  <si>
    <t>Rest</t>
  </si>
  <si>
    <t>Transport</t>
  </si>
  <si>
    <t>neu-münzsammler</t>
  </si>
  <si>
    <t>USA</t>
  </si>
  <si>
    <t>DHL</t>
  </si>
  <si>
    <t>Stand:</t>
  </si>
  <si>
    <t>Besteller</t>
  </si>
  <si>
    <t>Preis</t>
  </si>
  <si>
    <t>versendet</t>
  </si>
  <si>
    <t>Summe</t>
  </si>
  <si>
    <t>x direkt</t>
  </si>
  <si>
    <t>angekommen</t>
  </si>
  <si>
    <t>Ist-Kosten</t>
  </si>
  <si>
    <t>Legende</t>
  </si>
  <si>
    <t>Post</t>
  </si>
  <si>
    <t>Verpackung und Versand</t>
  </si>
  <si>
    <t>Gewicht</t>
  </si>
  <si>
    <t>↓ ↓ ↓ ↓</t>
  </si>
  <si>
    <t>x BLS</t>
  </si>
  <si>
    <t>-</t>
  </si>
  <si>
    <t>Beschaffung &gt;&gt;USA&lt;&lt; American Innovation Dollars 2021</t>
  </si>
  <si>
    <t>Native Americans in the U.S. Military</t>
  </si>
  <si>
    <t>New York - Erie Canal</t>
  </si>
  <si>
    <t>Virginia - Chesapeake Bay Bridge-Tunnel</t>
  </si>
  <si>
    <t>M ü n z a u s g a b e   D
( D e n v e r )</t>
  </si>
  <si>
    <t>BeRow</t>
  </si>
  <si>
    <t>BLS</t>
  </si>
  <si>
    <t>schnuff99</t>
  </si>
  <si>
    <t>Atuatuca</t>
  </si>
  <si>
    <t>direkt</t>
  </si>
  <si>
    <t>Brief</t>
  </si>
  <si>
    <t>swiss89</t>
  </si>
  <si>
    <t>Schweiz</t>
  </si>
  <si>
    <t>bayreuth</t>
  </si>
  <si>
    <t>+ 1x USA1</t>
  </si>
  <si>
    <t>ornata</t>
  </si>
  <si>
    <t>Motengo</t>
  </si>
  <si>
    <t>Django</t>
  </si>
  <si>
    <t>helmschck</t>
  </si>
  <si>
    <t>del200</t>
  </si>
  <si>
    <t>Xilk</t>
  </si>
  <si>
    <t>stauba</t>
  </si>
  <si>
    <t>caninus</t>
  </si>
  <si>
    <t>Voller</t>
  </si>
  <si>
    <t>Andro</t>
  </si>
  <si>
    <t>Leitwolf</t>
  </si>
  <si>
    <t>Molch1804</t>
  </si>
  <si>
    <t>schnullsch</t>
  </si>
  <si>
    <r>
      <rPr>
        <strike/>
        <sz val="11"/>
        <color rgb="FFFF0000"/>
        <rFont val="Arial Unicode MS"/>
      </rPr>
      <t>New Hampshire - Home video game console</t>
    </r>
    <r>
      <rPr>
        <sz val="11"/>
        <color rgb="FFFF0000"/>
        <rFont val="Arial Unicode MS"/>
      </rPr>
      <t xml:space="preserve"> (ausverkauft)</t>
    </r>
  </si>
  <si>
    <t>North Carolina - First Public University</t>
  </si>
  <si>
    <t>REST</t>
  </si>
  <si>
    <t>3x Innovation Dollar D
1x Native Dollar D</t>
  </si>
  <si>
    <t>noch offen</t>
  </si>
  <si>
    <t>↓ ↓ ↓</t>
  </si>
  <si>
    <t>bereits bezahlt</t>
  </si>
  <si>
    <t>M Ü N Z E N   V E R S E N D E T</t>
  </si>
  <si>
    <t>Bofried</t>
  </si>
  <si>
    <t>+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</si>
</sst>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_-* #,##0.00\ _€_-;\-* #,##0.00\ _€_-;_-* &quot;-&quot;??\ _€_-;_-@_-"/>
    <numFmt numFmtId="165" formatCode="[$$-409]#,##0.00"/>
    <numFmt numFmtId="166" formatCode="#,##0.00\ &quot;€&quot;"/>
    <numFmt numFmtId="167" formatCode="#,##0.00&quot; €&quot;"/>
    <numFmt numFmtId="168" formatCode="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20"/>
      <color indexed="8"/>
      <name val="Arial Unicode MS"/>
      <family val="2"/>
    </font>
    <font>
      <sz val="20"/>
      <color indexed="8"/>
      <name val="Arial Unicode MS"/>
      <family val="2"/>
    </font>
    <font>
      <b/>
      <u/>
      <sz val="11"/>
      <color theme="1"/>
      <name val="Arial Unicode MS"/>
    </font>
    <font>
      <b/>
      <sz val="11"/>
      <color rgb="FFFF0000"/>
      <name val="Calibri"/>
      <family val="2"/>
    </font>
    <font>
      <sz val="12"/>
      <color indexed="8"/>
      <name val="Arial Unicode MS"/>
      <family val="2"/>
    </font>
    <font>
      <b/>
      <sz val="12"/>
      <color rgb="FF92D050"/>
      <name val="Arial Unicode MS"/>
      <family val="2"/>
    </font>
    <font>
      <b/>
      <sz val="12"/>
      <color rgb="FFFF0000"/>
      <name val="Arial Unicode MS"/>
      <family val="2"/>
    </font>
    <font>
      <b/>
      <sz val="11"/>
      <color theme="1"/>
      <name val="Arial Unicode MS"/>
    </font>
    <font>
      <sz val="11"/>
      <name val="Arial Unicode MS"/>
      <family val="2"/>
    </font>
    <font>
      <sz val="11"/>
      <color rgb="FFFF0000"/>
      <name val="Arial Unicode MS"/>
    </font>
    <font>
      <b/>
      <sz val="11"/>
      <name val="Arial Unicode MS"/>
      <family val="2"/>
    </font>
    <font>
      <b/>
      <sz val="11"/>
      <name val="Arial Unicode MS"/>
    </font>
    <font>
      <strike/>
      <sz val="11"/>
      <color rgb="FFFF0000"/>
      <name val="Arial Unicode MS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46">
    <xf numFmtId="0" fontId="0" fillId="0" borderId="0" xfId="0"/>
    <xf numFmtId="0" fontId="7" fillId="0" borderId="0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1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166" fontId="4" fillId="0" borderId="21" xfId="0" applyNumberFormat="1" applyFont="1" applyFill="1" applyBorder="1" applyAlignment="1">
      <alignment horizontal="right" vertical="center" wrapText="1"/>
    </xf>
    <xf numFmtId="4" fontId="4" fillId="0" borderId="17" xfId="1" applyNumberFormat="1" applyFont="1" applyFill="1" applyBorder="1" applyAlignment="1">
      <alignment horizontal="right" vertical="center" wrapText="1"/>
    </xf>
    <xf numFmtId="166" fontId="4" fillId="0" borderId="17" xfId="0" applyNumberFormat="1" applyFont="1" applyFill="1" applyBorder="1" applyAlignment="1">
      <alignment vertical="center" wrapText="1"/>
    </xf>
    <xf numFmtId="166" fontId="4" fillId="0" borderId="17" xfId="0" applyNumberFormat="1" applyFont="1" applyFill="1" applyBorder="1" applyAlignment="1">
      <alignment horizontal="right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8" fontId="4" fillId="0" borderId="14" xfId="0" applyNumberFormat="1" applyFont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166" fontId="4" fillId="3" borderId="5" xfId="0" applyNumberFormat="1" applyFont="1" applyFill="1" applyBorder="1" applyAlignment="1">
      <alignment vertical="center" wrapText="1"/>
    </xf>
    <xf numFmtId="165" fontId="4" fillId="0" borderId="14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6" fontId="4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8" fontId="4" fillId="0" borderId="6" xfId="0" applyNumberFormat="1" applyFont="1" applyBorder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10" fillId="0" borderId="0" xfId="2" applyFont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right" vertical="center" wrapText="1"/>
    </xf>
    <xf numFmtId="167" fontId="12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4" fontId="5" fillId="0" borderId="17" xfId="1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4" fontId="11" fillId="4" borderId="0" xfId="2" applyNumberFormat="1" applyFont="1" applyFill="1" applyBorder="1" applyAlignment="1">
      <alignment horizontal="left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166" fontId="14" fillId="0" borderId="17" xfId="0" applyNumberFormat="1" applyFont="1" applyFill="1" applyBorder="1" applyAlignment="1">
      <alignment vertical="center" wrapText="1"/>
    </xf>
    <xf numFmtId="166" fontId="14" fillId="0" borderId="17" xfId="0" applyNumberFormat="1" applyFont="1" applyFill="1" applyBorder="1" applyAlignment="1">
      <alignment horizontal="right" vertical="center" wrapText="1"/>
    </xf>
    <xf numFmtId="166" fontId="14" fillId="0" borderId="17" xfId="0" applyNumberFormat="1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5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6" borderId="17" xfId="0" applyFont="1" applyFill="1" applyBorder="1" applyAlignment="1">
      <alignment vertical="center" wrapText="1"/>
    </xf>
    <xf numFmtId="0" fontId="14" fillId="8" borderId="17" xfId="0" applyFont="1" applyFill="1" applyBorder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vertical="center"/>
    </xf>
    <xf numFmtId="8" fontId="4" fillId="0" borderId="14" xfId="0" applyNumberFormat="1" applyFont="1" applyBorder="1" applyAlignment="1">
      <alignment horizontal="right" vertical="center" wrapText="1"/>
    </xf>
    <xf numFmtId="166" fontId="14" fillId="6" borderId="17" xfId="0" applyNumberFormat="1" applyFont="1" applyFill="1" applyBorder="1" applyAlignment="1">
      <alignment horizontal="center" vertical="center" wrapText="1"/>
    </xf>
    <xf numFmtId="166" fontId="4" fillId="9" borderId="0" xfId="0" quotePrefix="1" applyNumberFormat="1" applyFont="1" applyFill="1" applyAlignment="1">
      <alignment horizontal="left" vertical="center" wrapText="1"/>
    </xf>
    <xf numFmtId="166" fontId="4" fillId="10" borderId="0" xfId="0" quotePrefix="1" applyNumberFormat="1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14" fontId="3" fillId="0" borderId="17" xfId="2" applyNumberFormat="1" applyFont="1" applyFill="1" applyBorder="1" applyAlignment="1">
      <alignment horizontal="center" vertical="center" wrapText="1"/>
    </xf>
    <xf numFmtId="166" fontId="3" fillId="0" borderId="17" xfId="2" applyNumberFormat="1" applyFont="1" applyFill="1" applyBorder="1" applyAlignment="1">
      <alignment horizontal="center" vertical="center" wrapText="1"/>
    </xf>
    <xf numFmtId="167" fontId="3" fillId="6" borderId="17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Border="1" applyAlignment="1">
      <alignment horizontal="center" vertical="center" wrapText="1"/>
    </xf>
    <xf numFmtId="166" fontId="3" fillId="6" borderId="17" xfId="2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left" vertical="center" wrapText="1"/>
    </xf>
    <xf numFmtId="8" fontId="5" fillId="0" borderId="3" xfId="0" applyNumberFormat="1" applyFont="1" applyBorder="1" applyAlignment="1">
      <alignment horizontal="left" vertical="center" wrapText="1"/>
    </xf>
    <xf numFmtId="8" fontId="4" fillId="0" borderId="12" xfId="0" applyNumberFormat="1" applyFont="1" applyBorder="1" applyAlignment="1">
      <alignment horizontal="left" vertical="center" wrapText="1"/>
    </xf>
    <xf numFmtId="8" fontId="4" fillId="0" borderId="13" xfId="0" applyNumberFormat="1" applyFont="1" applyBorder="1" applyAlignment="1">
      <alignment horizontal="left" vertical="center" wrapText="1"/>
    </xf>
    <xf numFmtId="8" fontId="4" fillId="0" borderId="0" xfId="0" applyNumberFormat="1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167" fontId="12" fillId="2" borderId="0" xfId="2" applyNumberFormat="1" applyFont="1" applyFill="1" applyBorder="1" applyAlignment="1">
      <alignment horizontal="center" vertical="center" wrapText="1"/>
    </xf>
    <xf numFmtId="14" fontId="11" fillId="4" borderId="0" xfId="2" applyNumberFormat="1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right" vertical="center" wrapText="1"/>
    </xf>
    <xf numFmtId="166" fontId="4" fillId="0" borderId="19" xfId="0" applyNumberFormat="1" applyFont="1" applyBorder="1" applyAlignment="1">
      <alignment horizontal="right" vertical="center" wrapText="1"/>
    </xf>
    <xf numFmtId="4" fontId="4" fillId="0" borderId="18" xfId="1" applyNumberFormat="1" applyFont="1" applyBorder="1" applyAlignment="1">
      <alignment horizontal="right" vertical="center" wrapText="1"/>
    </xf>
    <xf numFmtId="4" fontId="4" fillId="0" borderId="19" xfId="1" applyNumberFormat="1" applyFont="1" applyBorder="1" applyAlignment="1">
      <alignment horizontal="right" vertical="center" wrapText="1"/>
    </xf>
  </cellXfs>
  <cellStyles count="3">
    <cellStyle name="Excel Built-in Normal" xfId="2" xr:uid="{00000000-0005-0000-0000-000000000000}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zoomScale="90" zoomScaleNormal="90" workbookViewId="0"/>
  </sheetViews>
  <sheetFormatPr baseColWidth="10" defaultColWidth="11.44140625" defaultRowHeight="13.8"/>
  <cols>
    <col min="1" max="1" width="4.33203125" style="33" customWidth="1"/>
    <col min="2" max="2" width="21.44140625" style="17" customWidth="1"/>
    <col min="3" max="7" width="5.5546875" style="38" customWidth="1"/>
    <col min="8" max="8" width="11.44140625" style="5" customWidth="1"/>
    <col min="9" max="9" width="10" style="6" bestFit="1" customWidth="1"/>
    <col min="10" max="10" width="7.77734375" style="17" customWidth="1"/>
    <col min="11" max="11" width="8.88671875" style="17" customWidth="1"/>
    <col min="12" max="12" width="7.77734375" style="7" customWidth="1"/>
    <col min="13" max="13" width="7.77734375" style="17" customWidth="1"/>
    <col min="14" max="14" width="11.109375" style="38" customWidth="1"/>
    <col min="15" max="15" width="9.33203125" style="38" bestFit="1" customWidth="1"/>
    <col min="16" max="16" width="8.77734375" style="38" bestFit="1" customWidth="1"/>
    <col min="17" max="17" width="12.88671875" style="68" customWidth="1"/>
    <col min="18" max="18" width="11.44140625" style="8" customWidth="1"/>
    <col min="19" max="19" width="15.6640625" style="17" customWidth="1"/>
    <col min="20" max="23" width="10.6640625" style="17" customWidth="1"/>
    <col min="24" max="16384" width="11.44140625" style="17"/>
  </cols>
  <sheetData>
    <row r="1" spans="1:23" s="1" customFormat="1" ht="24.6">
      <c r="A1" s="61"/>
      <c r="B1" s="110" t="s">
        <v>31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2"/>
    </row>
    <row r="2" spans="1:23" s="46" customFormat="1" ht="19.8" customHeight="1">
      <c r="A2" s="62"/>
      <c r="B2" s="47" t="s">
        <v>16</v>
      </c>
      <c r="C2" s="131">
        <v>44578</v>
      </c>
      <c r="D2" s="131"/>
      <c r="E2" s="131"/>
      <c r="F2" s="131"/>
      <c r="G2" s="65"/>
      <c r="H2" s="130" t="s">
        <v>66</v>
      </c>
      <c r="I2" s="130"/>
      <c r="J2" s="130"/>
      <c r="K2" s="130"/>
      <c r="L2" s="130"/>
      <c r="M2" s="130"/>
      <c r="N2" s="130"/>
      <c r="O2" s="130"/>
      <c r="P2" s="130"/>
      <c r="Q2" s="130"/>
      <c r="R2" s="48"/>
    </row>
    <row r="3" spans="1:23" s="3" customFormat="1" ht="13.8" customHeight="1">
      <c r="A3" s="4"/>
      <c r="B3" s="129" t="s">
        <v>17</v>
      </c>
      <c r="C3" s="132" t="s">
        <v>35</v>
      </c>
      <c r="D3" s="133"/>
      <c r="E3" s="133"/>
      <c r="F3" s="133"/>
      <c r="G3" s="134"/>
      <c r="H3" s="104" t="s">
        <v>18</v>
      </c>
      <c r="I3" s="104" t="s">
        <v>27</v>
      </c>
      <c r="J3" s="108" t="s">
        <v>26</v>
      </c>
      <c r="K3" s="108"/>
      <c r="L3" s="108"/>
      <c r="M3" s="108"/>
      <c r="N3" s="107" t="s">
        <v>6</v>
      </c>
      <c r="O3" s="106" t="s">
        <v>65</v>
      </c>
      <c r="P3" s="109" t="s">
        <v>63</v>
      </c>
      <c r="Q3" s="105" t="s">
        <v>19</v>
      </c>
      <c r="R3" s="4"/>
    </row>
    <row r="4" spans="1:23" s="3" customFormat="1">
      <c r="A4" s="4"/>
      <c r="B4" s="129"/>
      <c r="C4" s="135"/>
      <c r="D4" s="136"/>
      <c r="E4" s="136"/>
      <c r="F4" s="136"/>
      <c r="G4" s="137"/>
      <c r="H4" s="104"/>
      <c r="I4" s="104"/>
      <c r="J4" s="108"/>
      <c r="K4" s="108"/>
      <c r="L4" s="108"/>
      <c r="M4" s="108"/>
      <c r="N4" s="107"/>
      <c r="O4" s="106"/>
      <c r="P4" s="109"/>
      <c r="Q4" s="105"/>
      <c r="R4" s="4"/>
    </row>
    <row r="5" spans="1:23" s="3" customFormat="1" ht="15" thickBot="1">
      <c r="A5" s="4"/>
      <c r="B5" s="57"/>
      <c r="C5" s="84">
        <v>1</v>
      </c>
      <c r="D5" s="84">
        <v>2</v>
      </c>
      <c r="E5" s="84">
        <v>3</v>
      </c>
      <c r="F5" s="84">
        <v>4</v>
      </c>
      <c r="G5" s="84">
        <v>5</v>
      </c>
      <c r="H5" s="57"/>
      <c r="I5" s="58"/>
      <c r="J5" s="57"/>
      <c r="K5" s="57"/>
      <c r="L5" s="59"/>
      <c r="M5" s="57"/>
      <c r="N5" s="60" t="s">
        <v>28</v>
      </c>
      <c r="O5" s="57"/>
      <c r="P5" s="60" t="s">
        <v>64</v>
      </c>
      <c r="Q5" s="66"/>
      <c r="R5" s="4"/>
    </row>
    <row r="6" spans="1:23" ht="14.4" thickBot="1">
      <c r="A6" s="44">
        <v>1</v>
      </c>
      <c r="B6" s="9" t="s">
        <v>13</v>
      </c>
      <c r="C6" s="89"/>
      <c r="D6" s="73">
        <v>1</v>
      </c>
      <c r="E6" s="73">
        <v>1</v>
      </c>
      <c r="F6" s="73">
        <v>1</v>
      </c>
      <c r="G6" s="78">
        <v>1</v>
      </c>
      <c r="H6" s="10">
        <f>$V$14*SUM(C6:G6)</f>
        <v>6.84</v>
      </c>
      <c r="I6" s="11">
        <f>SUM(C6:G6)*8.1</f>
        <v>32.4</v>
      </c>
      <c r="J6" s="9" t="s">
        <v>30</v>
      </c>
      <c r="K6" s="12"/>
      <c r="L6" s="13">
        <v>0</v>
      </c>
      <c r="M6" s="14">
        <v>0</v>
      </c>
      <c r="N6" s="14">
        <f t="shared" ref="N6:N22" si="0">H6+M6+L6</f>
        <v>6.84</v>
      </c>
      <c r="O6" s="14">
        <f>N6</f>
        <v>6.84</v>
      </c>
      <c r="P6" s="14">
        <v>0</v>
      </c>
      <c r="Q6" s="67">
        <v>44575</v>
      </c>
      <c r="R6" s="15"/>
      <c r="S6" s="16" t="s">
        <v>1</v>
      </c>
      <c r="T6" s="127" t="s">
        <v>0</v>
      </c>
      <c r="U6" s="128"/>
      <c r="V6" s="127" t="s">
        <v>4</v>
      </c>
      <c r="W6" s="128"/>
    </row>
    <row r="7" spans="1:23">
      <c r="A7" s="71">
        <v>2</v>
      </c>
      <c r="B7" s="72" t="s">
        <v>36</v>
      </c>
      <c r="C7" s="89"/>
      <c r="D7" s="73">
        <v>1</v>
      </c>
      <c r="E7" s="73">
        <v>1</v>
      </c>
      <c r="F7" s="73">
        <v>1</v>
      </c>
      <c r="G7" s="78">
        <v>1</v>
      </c>
      <c r="H7" s="10">
        <f t="shared" ref="H7:H22" si="1">$V$14*SUM(C7:G7)</f>
        <v>6.84</v>
      </c>
      <c r="I7" s="11">
        <f>SUM(C7:G7)*8.1</f>
        <v>32.4</v>
      </c>
      <c r="J7" s="72" t="s">
        <v>37</v>
      </c>
      <c r="K7" s="74"/>
      <c r="L7" s="75">
        <f>$U$21*(I7/$I$28)</f>
        <v>0.66555555555555568</v>
      </c>
      <c r="M7" s="76">
        <v>0.1</v>
      </c>
      <c r="N7" s="76">
        <f>H7+M7+L7</f>
        <v>7.6055555555555552</v>
      </c>
      <c r="O7" s="76">
        <f>6.25+1.36</f>
        <v>7.61</v>
      </c>
      <c r="P7" s="76">
        <f>N7-O7</f>
        <v>-4.4444444444451392E-3</v>
      </c>
      <c r="Q7" s="77">
        <v>44575</v>
      </c>
      <c r="R7" s="15"/>
      <c r="S7" s="18" t="s">
        <v>5</v>
      </c>
      <c r="T7" s="36" t="s">
        <v>2</v>
      </c>
      <c r="U7" s="19">
        <v>0</v>
      </c>
      <c r="V7" s="36" t="s">
        <v>2</v>
      </c>
      <c r="W7" s="20">
        <v>34.5</v>
      </c>
    </row>
    <row r="8" spans="1:23">
      <c r="A8" s="71">
        <v>3</v>
      </c>
      <c r="B8" s="72" t="s">
        <v>38</v>
      </c>
      <c r="C8" s="89"/>
      <c r="D8" s="73">
        <v>1</v>
      </c>
      <c r="E8" s="73">
        <v>1</v>
      </c>
      <c r="F8" s="73">
        <v>1</v>
      </c>
      <c r="G8" s="78">
        <v>1</v>
      </c>
      <c r="H8" s="10">
        <f t="shared" si="1"/>
        <v>6.84</v>
      </c>
      <c r="I8" s="11">
        <f t="shared" ref="I8:I22" si="2">SUM(C8:G8)*8.1</f>
        <v>32.4</v>
      </c>
      <c r="J8" s="72" t="s">
        <v>37</v>
      </c>
      <c r="K8" s="74"/>
      <c r="L8" s="75">
        <f>$U$21*(I8/$I$28)</f>
        <v>0.66555555555555568</v>
      </c>
      <c r="M8" s="76">
        <v>0.1</v>
      </c>
      <c r="N8" s="76">
        <f t="shared" si="0"/>
        <v>7.6055555555555552</v>
      </c>
      <c r="O8" s="76">
        <f>6.25+1.36</f>
        <v>7.61</v>
      </c>
      <c r="P8" s="76">
        <f t="shared" ref="P8:P26" si="3">N8-O8</f>
        <v>-4.4444444444451392E-3</v>
      </c>
      <c r="Q8" s="77">
        <v>44575</v>
      </c>
      <c r="R8" s="15"/>
      <c r="S8" s="21">
        <f>S12/S11</f>
        <v>0.89027999999999996</v>
      </c>
      <c r="T8" s="36" t="s">
        <v>3</v>
      </c>
      <c r="U8" s="22">
        <f>U7/40</f>
        <v>0</v>
      </c>
      <c r="V8" s="36" t="s">
        <v>3</v>
      </c>
      <c r="W8" s="22">
        <f>W7/25</f>
        <v>1.38</v>
      </c>
    </row>
    <row r="9" spans="1:23" ht="14.4" thickBot="1">
      <c r="A9" s="71">
        <v>4</v>
      </c>
      <c r="B9" s="72" t="s">
        <v>39</v>
      </c>
      <c r="C9" s="89"/>
      <c r="D9" s="73">
        <v>1</v>
      </c>
      <c r="E9" s="73">
        <v>1</v>
      </c>
      <c r="F9" s="73">
        <v>1</v>
      </c>
      <c r="G9" s="78">
        <v>1</v>
      </c>
      <c r="H9" s="10">
        <f t="shared" si="1"/>
        <v>6.84</v>
      </c>
      <c r="I9" s="11">
        <f t="shared" si="2"/>
        <v>32.4</v>
      </c>
      <c r="J9" s="79" t="s">
        <v>40</v>
      </c>
      <c r="K9" s="74" t="s">
        <v>41</v>
      </c>
      <c r="L9" s="75">
        <v>1.6</v>
      </c>
      <c r="M9" s="76">
        <v>0.2</v>
      </c>
      <c r="N9" s="76">
        <f t="shared" si="0"/>
        <v>8.64</v>
      </c>
      <c r="O9" s="76">
        <f>8+1</f>
        <v>9</v>
      </c>
      <c r="P9" s="76">
        <f t="shared" si="3"/>
        <v>-0.35999999999999943</v>
      </c>
      <c r="Q9" s="77">
        <v>44575</v>
      </c>
      <c r="R9" s="15"/>
      <c r="S9" s="23"/>
      <c r="T9" s="125"/>
      <c r="U9" s="126"/>
      <c r="V9" s="125"/>
      <c r="W9" s="126"/>
    </row>
    <row r="10" spans="1:23">
      <c r="A10" s="71">
        <v>5</v>
      </c>
      <c r="B10" s="72" t="s">
        <v>42</v>
      </c>
      <c r="C10" s="89"/>
      <c r="D10" s="73">
        <v>1</v>
      </c>
      <c r="E10" s="73">
        <v>1</v>
      </c>
      <c r="F10" s="73">
        <v>1</v>
      </c>
      <c r="G10" s="78">
        <v>1</v>
      </c>
      <c r="H10" s="10">
        <f t="shared" si="1"/>
        <v>6.84</v>
      </c>
      <c r="I10" s="11">
        <f t="shared" si="2"/>
        <v>32.4</v>
      </c>
      <c r="J10" s="94" t="s">
        <v>40</v>
      </c>
      <c r="K10" s="74" t="s">
        <v>43</v>
      </c>
      <c r="L10" s="75">
        <v>3.7</v>
      </c>
      <c r="M10" s="76">
        <v>0.2</v>
      </c>
      <c r="N10" s="76">
        <f t="shared" si="0"/>
        <v>10.74</v>
      </c>
      <c r="O10" s="76">
        <v>9.3800000000000008</v>
      </c>
      <c r="P10" s="98">
        <f t="shared" si="3"/>
        <v>1.3599999999999994</v>
      </c>
      <c r="Q10" s="77">
        <v>44575</v>
      </c>
      <c r="R10" s="15"/>
      <c r="S10" s="23" t="s">
        <v>9</v>
      </c>
      <c r="T10" s="37" t="s">
        <v>12</v>
      </c>
      <c r="U10" s="20">
        <f>17.9+4*2.95</f>
        <v>29.7</v>
      </c>
      <c r="V10" s="24" t="s">
        <v>10</v>
      </c>
      <c r="W10" s="25">
        <v>21.05</v>
      </c>
    </row>
    <row r="11" spans="1:23">
      <c r="A11" s="71">
        <v>6</v>
      </c>
      <c r="B11" s="72" t="s">
        <v>44</v>
      </c>
      <c r="C11" s="89"/>
      <c r="D11" s="73">
        <v>1</v>
      </c>
      <c r="E11" s="73">
        <v>1</v>
      </c>
      <c r="F11" s="73">
        <v>1</v>
      </c>
      <c r="G11" s="78">
        <v>1</v>
      </c>
      <c r="H11" s="10">
        <f t="shared" si="1"/>
        <v>6.84</v>
      </c>
      <c r="I11" s="11">
        <f t="shared" si="2"/>
        <v>32.4</v>
      </c>
      <c r="J11" s="72" t="s">
        <v>37</v>
      </c>
      <c r="K11" s="74"/>
      <c r="L11" s="75">
        <f>$U$21*(I11/$I$28)</f>
        <v>0.66555555555555568</v>
      </c>
      <c r="M11" s="76">
        <v>0.1</v>
      </c>
      <c r="N11" s="76">
        <f>H11+M11+L11</f>
        <v>7.6055555555555552</v>
      </c>
      <c r="O11" s="76">
        <f>19.93-13.68</f>
        <v>6.25</v>
      </c>
      <c r="P11" s="98">
        <f t="shared" si="3"/>
        <v>1.3555555555555552</v>
      </c>
      <c r="Q11" s="77">
        <v>44575</v>
      </c>
      <c r="R11" s="99" t="s">
        <v>45</v>
      </c>
      <c r="S11" s="26">
        <f>0*U7+4*W7+U10</f>
        <v>167.7</v>
      </c>
      <c r="T11" s="41" t="s">
        <v>3</v>
      </c>
      <c r="U11" s="19">
        <f>U10/(4*25)</f>
        <v>0.29699999999999999</v>
      </c>
      <c r="V11" s="42" t="s">
        <v>3</v>
      </c>
      <c r="W11" s="43">
        <f>W10/(4*25)</f>
        <v>0.21050000000000002</v>
      </c>
    </row>
    <row r="12" spans="1:23" ht="14.4" thickBot="1">
      <c r="A12" s="71">
        <v>7</v>
      </c>
      <c r="B12" s="72" t="s">
        <v>46</v>
      </c>
      <c r="C12" s="89"/>
      <c r="D12" s="73">
        <v>1</v>
      </c>
      <c r="E12" s="73">
        <v>1</v>
      </c>
      <c r="F12" s="73">
        <v>1</v>
      </c>
      <c r="G12" s="78">
        <v>1</v>
      </c>
      <c r="H12" s="10">
        <f t="shared" si="1"/>
        <v>6.84</v>
      </c>
      <c r="I12" s="11">
        <f t="shared" si="2"/>
        <v>32.4</v>
      </c>
      <c r="J12" s="79" t="s">
        <v>40</v>
      </c>
      <c r="K12" s="74" t="s">
        <v>41</v>
      </c>
      <c r="L12" s="75">
        <v>1.6</v>
      </c>
      <c r="M12" s="76">
        <v>0.2</v>
      </c>
      <c r="N12" s="76">
        <f t="shared" si="0"/>
        <v>8.64</v>
      </c>
      <c r="O12" s="76">
        <f>7.5+1.14</f>
        <v>8.64</v>
      </c>
      <c r="P12" s="76">
        <f t="shared" si="3"/>
        <v>0</v>
      </c>
      <c r="Q12" s="77">
        <v>44575</v>
      </c>
      <c r="R12" s="15"/>
      <c r="S12" s="40">
        <f>S11*0.89028</f>
        <v>149.29995599999998</v>
      </c>
      <c r="T12" s="121"/>
      <c r="U12" s="122"/>
      <c r="V12" s="125"/>
      <c r="W12" s="126"/>
    </row>
    <row r="13" spans="1:23">
      <c r="A13" s="71">
        <v>8</v>
      </c>
      <c r="B13" s="72" t="s">
        <v>47</v>
      </c>
      <c r="C13" s="89"/>
      <c r="D13" s="73">
        <v>1</v>
      </c>
      <c r="E13" s="73">
        <v>1</v>
      </c>
      <c r="F13" s="73">
        <v>1</v>
      </c>
      <c r="G13" s="78">
        <v>1</v>
      </c>
      <c r="H13" s="10">
        <f t="shared" si="1"/>
        <v>6.84</v>
      </c>
      <c r="I13" s="11">
        <f t="shared" si="2"/>
        <v>32.4</v>
      </c>
      <c r="J13" s="72" t="s">
        <v>37</v>
      </c>
      <c r="K13" s="74"/>
      <c r="L13" s="75">
        <f>$U$21*(I13/$I$28)</f>
        <v>0.66555555555555568</v>
      </c>
      <c r="M13" s="76">
        <v>0.1</v>
      </c>
      <c r="N13" s="76">
        <f t="shared" si="0"/>
        <v>7.6055555555555552</v>
      </c>
      <c r="O13" s="76">
        <f>6.25+1.36</f>
        <v>7.61</v>
      </c>
      <c r="P13" s="76">
        <f t="shared" si="3"/>
        <v>-4.4444444444451392E-3</v>
      </c>
      <c r="Q13" s="77">
        <v>44575</v>
      </c>
      <c r="R13" s="15"/>
      <c r="S13" s="97"/>
      <c r="T13" s="119" t="s">
        <v>0</v>
      </c>
      <c r="U13" s="120"/>
      <c r="V13" s="115"/>
      <c r="W13" s="116"/>
    </row>
    <row r="14" spans="1:23" ht="14.4" thickBot="1">
      <c r="A14" s="71">
        <v>9</v>
      </c>
      <c r="B14" s="72" t="s">
        <v>48</v>
      </c>
      <c r="C14" s="89"/>
      <c r="D14" s="73">
        <v>1</v>
      </c>
      <c r="E14" s="73">
        <v>1</v>
      </c>
      <c r="F14" s="73">
        <v>1</v>
      </c>
      <c r="G14" s="78">
        <v>1</v>
      </c>
      <c r="H14" s="10">
        <f t="shared" si="1"/>
        <v>6.84</v>
      </c>
      <c r="I14" s="11">
        <f t="shared" si="2"/>
        <v>32.4</v>
      </c>
      <c r="J14" s="72" t="s">
        <v>37</v>
      </c>
      <c r="K14" s="74"/>
      <c r="L14" s="75">
        <f>$U$21*(I14/$I$28)</f>
        <v>0.66555555555555568</v>
      </c>
      <c r="M14" s="76">
        <v>0.1</v>
      </c>
      <c r="N14" s="76">
        <f t="shared" si="0"/>
        <v>7.6055555555555552</v>
      </c>
      <c r="O14" s="76">
        <v>6.25</v>
      </c>
      <c r="P14" s="98">
        <f t="shared" si="3"/>
        <v>1.3555555555555552</v>
      </c>
      <c r="Q14" s="77">
        <v>44575</v>
      </c>
      <c r="R14" s="15"/>
      <c r="S14" s="23"/>
      <c r="T14" s="123" t="s">
        <v>4</v>
      </c>
      <c r="U14" s="124"/>
      <c r="V14" s="113">
        <f>ROUNDUP((U8+W8+U11)*S8+W11,2)</f>
        <v>1.71</v>
      </c>
      <c r="W14" s="114"/>
    </row>
    <row r="15" spans="1:23" ht="15" thickTop="1" thickBot="1">
      <c r="A15" s="71">
        <v>10</v>
      </c>
      <c r="B15" s="72" t="s">
        <v>49</v>
      </c>
      <c r="C15" s="89"/>
      <c r="D15" s="73">
        <v>1</v>
      </c>
      <c r="E15" s="73">
        <v>1</v>
      </c>
      <c r="F15" s="73">
        <v>1</v>
      </c>
      <c r="G15" s="78">
        <v>1</v>
      </c>
      <c r="H15" s="10">
        <f t="shared" si="1"/>
        <v>6.84</v>
      </c>
      <c r="I15" s="11">
        <f t="shared" si="2"/>
        <v>32.4</v>
      </c>
      <c r="J15" s="79" t="s">
        <v>40</v>
      </c>
      <c r="K15" s="74" t="s">
        <v>41</v>
      </c>
      <c r="L15" s="75">
        <v>1.6</v>
      </c>
      <c r="M15" s="76">
        <v>0.2</v>
      </c>
      <c r="N15" s="76">
        <f t="shared" si="0"/>
        <v>8.64</v>
      </c>
      <c r="O15" s="76">
        <f>7.23+1.41</f>
        <v>8.64</v>
      </c>
      <c r="P15" s="76">
        <f t="shared" si="3"/>
        <v>0</v>
      </c>
      <c r="Q15" s="77">
        <v>44575</v>
      </c>
      <c r="R15" s="15"/>
      <c r="S15" s="27"/>
      <c r="T15" s="117" t="s">
        <v>7</v>
      </c>
      <c r="U15" s="118"/>
      <c r="V15" s="111">
        <f>4*V14</f>
        <v>6.84</v>
      </c>
      <c r="W15" s="112"/>
    </row>
    <row r="16" spans="1:23" s="33" customFormat="1" ht="13.8" customHeight="1">
      <c r="A16" s="71">
        <v>11</v>
      </c>
      <c r="B16" s="80" t="s">
        <v>50</v>
      </c>
      <c r="C16" s="90"/>
      <c r="D16" s="81">
        <v>2</v>
      </c>
      <c r="E16" s="81">
        <v>2</v>
      </c>
      <c r="F16" s="81">
        <v>2</v>
      </c>
      <c r="G16" s="82">
        <v>2</v>
      </c>
      <c r="H16" s="10">
        <f t="shared" si="1"/>
        <v>13.68</v>
      </c>
      <c r="I16" s="11">
        <f t="shared" si="2"/>
        <v>64.8</v>
      </c>
      <c r="J16" s="79" t="s">
        <v>40</v>
      </c>
      <c r="K16" s="74" t="s">
        <v>41</v>
      </c>
      <c r="L16" s="75">
        <v>1.6</v>
      </c>
      <c r="M16" s="76">
        <v>0.3</v>
      </c>
      <c r="N16" s="76">
        <f t="shared" si="0"/>
        <v>15.58</v>
      </c>
      <c r="O16" s="76">
        <f>12.81+2.77</f>
        <v>15.58</v>
      </c>
      <c r="P16" s="76">
        <f t="shared" si="3"/>
        <v>0</v>
      </c>
      <c r="Q16" s="77">
        <v>44575</v>
      </c>
      <c r="R16" s="15"/>
      <c r="U16" s="45" t="s">
        <v>7</v>
      </c>
      <c r="V16" s="101" t="s">
        <v>62</v>
      </c>
      <c r="W16" s="101"/>
    </row>
    <row r="17" spans="1:23">
      <c r="A17" s="71">
        <v>12</v>
      </c>
      <c r="B17" s="72" t="s">
        <v>51</v>
      </c>
      <c r="C17" s="89"/>
      <c r="D17" s="73">
        <v>1</v>
      </c>
      <c r="E17" s="73">
        <v>1</v>
      </c>
      <c r="F17" s="73">
        <v>1</v>
      </c>
      <c r="G17" s="78">
        <v>1</v>
      </c>
      <c r="H17" s="10">
        <f t="shared" si="1"/>
        <v>6.84</v>
      </c>
      <c r="I17" s="11">
        <f t="shared" si="2"/>
        <v>32.4</v>
      </c>
      <c r="J17" s="79" t="s">
        <v>40</v>
      </c>
      <c r="K17" s="74" t="s">
        <v>41</v>
      </c>
      <c r="L17" s="75">
        <v>1.6</v>
      </c>
      <c r="M17" s="76">
        <v>0.2</v>
      </c>
      <c r="N17" s="76">
        <f t="shared" si="0"/>
        <v>8.64</v>
      </c>
      <c r="O17" s="76">
        <v>8</v>
      </c>
      <c r="P17" s="98">
        <f t="shared" si="3"/>
        <v>0.64000000000000057</v>
      </c>
      <c r="Q17" s="77">
        <v>44575</v>
      </c>
      <c r="R17" s="15"/>
      <c r="S17" s="95"/>
      <c r="T17" s="29"/>
      <c r="U17" s="29"/>
      <c r="V17" s="102"/>
      <c r="W17" s="102"/>
    </row>
    <row r="18" spans="1:23">
      <c r="A18" s="71">
        <v>13</v>
      </c>
      <c r="B18" s="80" t="s">
        <v>52</v>
      </c>
      <c r="C18" s="90"/>
      <c r="D18" s="81">
        <v>2</v>
      </c>
      <c r="E18" s="81">
        <v>2</v>
      </c>
      <c r="F18" s="81">
        <v>2</v>
      </c>
      <c r="G18" s="82">
        <v>2</v>
      </c>
      <c r="H18" s="10">
        <f t="shared" si="1"/>
        <v>13.68</v>
      </c>
      <c r="I18" s="11">
        <f t="shared" si="2"/>
        <v>64.8</v>
      </c>
      <c r="J18" s="72" t="s">
        <v>37</v>
      </c>
      <c r="K18" s="74"/>
      <c r="L18" s="75">
        <f>$U$21*(I18/$I$28)</f>
        <v>1.3311111111111114</v>
      </c>
      <c r="M18" s="76">
        <v>0.2</v>
      </c>
      <c r="N18" s="76">
        <f t="shared" si="0"/>
        <v>15.21111111111111</v>
      </c>
      <c r="O18" s="76">
        <v>12.49</v>
      </c>
      <c r="P18" s="98">
        <f t="shared" si="3"/>
        <v>2.7211111111111101</v>
      </c>
      <c r="Q18" s="77">
        <v>44575</v>
      </c>
      <c r="R18" s="15"/>
      <c r="U18" s="30"/>
    </row>
    <row r="19" spans="1:23" ht="13.8" customHeight="1">
      <c r="A19" s="71">
        <v>14</v>
      </c>
      <c r="B19" s="72" t="s">
        <v>53</v>
      </c>
      <c r="C19" s="89"/>
      <c r="D19" s="73">
        <v>1</v>
      </c>
      <c r="E19" s="73">
        <v>1</v>
      </c>
      <c r="F19" s="73">
        <v>1</v>
      </c>
      <c r="G19" s="78">
        <v>1</v>
      </c>
      <c r="H19" s="10">
        <f t="shared" si="1"/>
        <v>6.84</v>
      </c>
      <c r="I19" s="11">
        <f t="shared" si="2"/>
        <v>32.4</v>
      </c>
      <c r="J19" s="72" t="s">
        <v>37</v>
      </c>
      <c r="K19" s="74"/>
      <c r="L19" s="75">
        <f>$U$21*(I19/$I$28)</f>
        <v>0.66555555555555568</v>
      </c>
      <c r="M19" s="76">
        <v>0.1</v>
      </c>
      <c r="N19" s="76">
        <f t="shared" si="0"/>
        <v>7.6055555555555552</v>
      </c>
      <c r="O19" s="76">
        <f>6.25+1.36</f>
        <v>7.61</v>
      </c>
      <c r="P19" s="76">
        <f t="shared" si="3"/>
        <v>-4.4444444444451392E-3</v>
      </c>
      <c r="Q19" s="77">
        <v>44575</v>
      </c>
      <c r="R19" s="15"/>
      <c r="S19" s="31" t="s">
        <v>23</v>
      </c>
      <c r="T19" s="17" t="s">
        <v>14</v>
      </c>
      <c r="U19" s="30">
        <f>S12</f>
        <v>149.29995599999998</v>
      </c>
      <c r="V19" s="30"/>
      <c r="W19" s="30"/>
    </row>
    <row r="20" spans="1:23">
      <c r="A20" s="71">
        <v>15</v>
      </c>
      <c r="B20" s="72" t="s">
        <v>54</v>
      </c>
      <c r="C20" s="89"/>
      <c r="D20" s="73">
        <v>1</v>
      </c>
      <c r="E20" s="73">
        <v>1</v>
      </c>
      <c r="F20" s="73">
        <v>1</v>
      </c>
      <c r="G20" s="78">
        <v>1</v>
      </c>
      <c r="H20" s="10">
        <f t="shared" si="1"/>
        <v>6.84</v>
      </c>
      <c r="I20" s="11">
        <f t="shared" si="2"/>
        <v>32.4</v>
      </c>
      <c r="J20" s="79" t="s">
        <v>40</v>
      </c>
      <c r="K20" s="74" t="s">
        <v>41</v>
      </c>
      <c r="L20" s="75">
        <v>1.6</v>
      </c>
      <c r="M20" s="76">
        <v>0.2</v>
      </c>
      <c r="N20" s="76">
        <f t="shared" si="0"/>
        <v>8.64</v>
      </c>
      <c r="O20" s="76">
        <f>7.23+1.41</f>
        <v>8.64</v>
      </c>
      <c r="P20" s="76">
        <f t="shared" si="3"/>
        <v>0</v>
      </c>
      <c r="Q20" s="77">
        <v>44575</v>
      </c>
      <c r="R20" s="15"/>
      <c r="T20" s="17" t="s">
        <v>10</v>
      </c>
      <c r="U20" s="30">
        <f>W10</f>
        <v>21.05</v>
      </c>
      <c r="W20" s="30"/>
    </row>
    <row r="21" spans="1:23">
      <c r="A21" s="71">
        <v>16</v>
      </c>
      <c r="B21" s="72" t="s">
        <v>55</v>
      </c>
      <c r="C21" s="89"/>
      <c r="D21" s="73">
        <v>1</v>
      </c>
      <c r="E21" s="73">
        <v>1</v>
      </c>
      <c r="F21" s="73">
        <v>1</v>
      </c>
      <c r="G21" s="78">
        <v>1</v>
      </c>
      <c r="H21" s="10">
        <f t="shared" si="1"/>
        <v>6.84</v>
      </c>
      <c r="I21" s="11">
        <f t="shared" si="2"/>
        <v>32.4</v>
      </c>
      <c r="J21" s="72" t="s">
        <v>37</v>
      </c>
      <c r="K21" s="74"/>
      <c r="L21" s="75">
        <f>$U$21*(I21/$I$28)</f>
        <v>0.66555555555555568</v>
      </c>
      <c r="M21" s="76">
        <v>0.1</v>
      </c>
      <c r="N21" s="76">
        <f t="shared" si="0"/>
        <v>7.6055555555555552</v>
      </c>
      <c r="O21" s="76">
        <v>6.25</v>
      </c>
      <c r="P21" s="98">
        <f t="shared" si="3"/>
        <v>1.3555555555555552</v>
      </c>
      <c r="Q21" s="77">
        <v>44575</v>
      </c>
      <c r="R21" s="15"/>
      <c r="T21" s="17" t="s">
        <v>15</v>
      </c>
      <c r="U21" s="30">
        <v>5.99</v>
      </c>
      <c r="V21" s="30"/>
    </row>
    <row r="22" spans="1:23">
      <c r="A22" s="71">
        <v>17</v>
      </c>
      <c r="B22" s="80" t="s">
        <v>56</v>
      </c>
      <c r="C22" s="90"/>
      <c r="D22" s="81">
        <v>2</v>
      </c>
      <c r="E22" s="81">
        <v>2</v>
      </c>
      <c r="F22" s="81">
        <v>2</v>
      </c>
      <c r="G22" s="82">
        <v>2</v>
      </c>
      <c r="H22" s="10">
        <f t="shared" si="1"/>
        <v>13.68</v>
      </c>
      <c r="I22" s="11">
        <f t="shared" si="2"/>
        <v>64.8</v>
      </c>
      <c r="J22" s="79" t="s">
        <v>40</v>
      </c>
      <c r="K22" s="74" t="s">
        <v>41</v>
      </c>
      <c r="L22" s="75">
        <v>1.6</v>
      </c>
      <c r="M22" s="76">
        <v>0.3</v>
      </c>
      <c r="N22" s="76">
        <f t="shared" si="0"/>
        <v>15.58</v>
      </c>
      <c r="O22" s="76">
        <f>13+2.6</f>
        <v>15.6</v>
      </c>
      <c r="P22" s="76">
        <f t="shared" si="3"/>
        <v>-1.9999999999999574E-2</v>
      </c>
      <c r="Q22" s="77">
        <v>44575</v>
      </c>
      <c r="R22" s="15"/>
      <c r="T22" s="17" t="s">
        <v>25</v>
      </c>
      <c r="U22" s="30">
        <f>L9+L10+L12+L15+L16+L17+L20+L22+L23+L24+L25</f>
        <v>19.700000000000003</v>
      </c>
      <c r="V22" s="30"/>
    </row>
    <row r="23" spans="1:23">
      <c r="A23" s="71">
        <v>18</v>
      </c>
      <c r="B23" s="72" t="s">
        <v>57</v>
      </c>
      <c r="C23" s="89"/>
      <c r="D23" s="73">
        <v>1</v>
      </c>
      <c r="E23" s="73">
        <v>1</v>
      </c>
      <c r="F23" s="73">
        <v>1</v>
      </c>
      <c r="G23" s="78">
        <v>1</v>
      </c>
      <c r="H23" s="10">
        <f>$V$14*SUM(C23:G23)</f>
        <v>6.84</v>
      </c>
      <c r="I23" s="11">
        <f>SUM(C23:G23)*8.1</f>
        <v>32.4</v>
      </c>
      <c r="J23" s="79" t="s">
        <v>40</v>
      </c>
      <c r="K23" s="74" t="s">
        <v>41</v>
      </c>
      <c r="L23" s="75">
        <v>1.6</v>
      </c>
      <c r="M23" s="76">
        <v>0.2</v>
      </c>
      <c r="N23" s="76">
        <f>H23+M23+L23</f>
        <v>8.64</v>
      </c>
      <c r="O23" s="76">
        <f>7.3+1.34</f>
        <v>8.64</v>
      </c>
      <c r="P23" s="76">
        <f t="shared" si="3"/>
        <v>0</v>
      </c>
      <c r="Q23" s="77">
        <v>44575</v>
      </c>
      <c r="R23" s="15"/>
      <c r="T23" s="17" t="s">
        <v>20</v>
      </c>
      <c r="U23" s="30">
        <f>SUM(U19:U22)</f>
        <v>196.03995600000002</v>
      </c>
    </row>
    <row r="24" spans="1:23">
      <c r="A24" s="72">
        <v>19</v>
      </c>
      <c r="B24" s="72" t="s">
        <v>58</v>
      </c>
      <c r="C24" s="89"/>
      <c r="D24" s="73">
        <v>1</v>
      </c>
      <c r="E24" s="73">
        <v>1</v>
      </c>
      <c r="F24" s="73">
        <v>1</v>
      </c>
      <c r="G24" s="73">
        <v>1</v>
      </c>
      <c r="H24" s="13">
        <f>$V$14*SUM(C24:G24)</f>
        <v>6.84</v>
      </c>
      <c r="I24" s="11">
        <f>SUM(C24:G24)*8.1</f>
        <v>32.4</v>
      </c>
      <c r="J24" s="79" t="s">
        <v>40</v>
      </c>
      <c r="K24" s="74" t="s">
        <v>41</v>
      </c>
      <c r="L24" s="75">
        <v>1.6</v>
      </c>
      <c r="M24" s="76">
        <v>0.2</v>
      </c>
      <c r="N24" s="76">
        <f>H24+M24+L24</f>
        <v>8.64</v>
      </c>
      <c r="O24" s="76">
        <v>7.5</v>
      </c>
      <c r="P24" s="98">
        <f t="shared" si="3"/>
        <v>1.1400000000000006</v>
      </c>
      <c r="Q24" s="77">
        <v>44578</v>
      </c>
      <c r="R24" s="15"/>
      <c r="U24" s="30"/>
    </row>
    <row r="25" spans="1:23">
      <c r="A25" s="72">
        <v>20</v>
      </c>
      <c r="B25" s="72" t="s">
        <v>67</v>
      </c>
      <c r="C25" s="89"/>
      <c r="D25" s="73">
        <v>1</v>
      </c>
      <c r="E25" s="73">
        <v>1</v>
      </c>
      <c r="F25" s="73">
        <v>1</v>
      </c>
      <c r="G25" s="73">
        <v>1</v>
      </c>
      <c r="H25" s="10">
        <f>$V$14*SUM(C25:G25)</f>
        <v>6.84</v>
      </c>
      <c r="I25" s="11">
        <f>SUM(C25:G25)*8.1</f>
        <v>32.4</v>
      </c>
      <c r="J25" s="79" t="s">
        <v>40</v>
      </c>
      <c r="K25" s="74" t="s">
        <v>41</v>
      </c>
      <c r="L25" s="75">
        <v>1.6</v>
      </c>
      <c r="M25" s="76">
        <v>0.2</v>
      </c>
      <c r="N25" s="76">
        <f>H25+M25+L25</f>
        <v>8.64</v>
      </c>
      <c r="O25" s="76">
        <v>8.6999999999999993</v>
      </c>
      <c r="P25" s="76">
        <f t="shared" si="3"/>
        <v>-5.9999999999998721E-2</v>
      </c>
      <c r="Q25" s="77">
        <v>44578</v>
      </c>
      <c r="R25" s="100" t="s">
        <v>68</v>
      </c>
      <c r="U25" s="30"/>
    </row>
    <row r="26" spans="1:23">
      <c r="A26" s="91"/>
      <c r="B26" s="93" t="s">
        <v>61</v>
      </c>
      <c r="C26" s="89"/>
      <c r="D26" s="92">
        <v>2</v>
      </c>
      <c r="E26" s="92">
        <v>2</v>
      </c>
      <c r="F26" s="92">
        <v>2</v>
      </c>
      <c r="G26" s="92">
        <v>2</v>
      </c>
      <c r="H26" s="10">
        <f>$V$14*SUM(C26:G26)</f>
        <v>13.68</v>
      </c>
      <c r="I26" s="11">
        <f>SUM(C26:G26)*8.1</f>
        <v>64.8</v>
      </c>
      <c r="J26" s="32"/>
      <c r="K26" s="32"/>
      <c r="L26" s="75"/>
      <c r="M26" s="76"/>
      <c r="N26" s="76">
        <f>H26+M26+L26</f>
        <v>13.68</v>
      </c>
      <c r="O26" s="76"/>
      <c r="P26" s="76">
        <f t="shared" si="3"/>
        <v>13.68</v>
      </c>
      <c r="Q26" s="77"/>
      <c r="R26" s="15"/>
      <c r="S26" s="28" t="s">
        <v>8</v>
      </c>
      <c r="T26" s="103">
        <v>44537</v>
      </c>
      <c r="U26" s="103"/>
    </row>
    <row r="27" spans="1:23">
      <c r="B27" s="33"/>
      <c r="C27" s="85"/>
      <c r="D27" s="85"/>
      <c r="E27" s="85"/>
      <c r="F27" s="85"/>
      <c r="G27" s="85"/>
      <c r="H27" s="7"/>
      <c r="K27" s="30"/>
      <c r="M27" s="39"/>
      <c r="N27" s="39"/>
      <c r="O27" s="39"/>
      <c r="P27" s="39"/>
      <c r="S27" s="28" t="s">
        <v>22</v>
      </c>
      <c r="T27" s="103">
        <v>44540</v>
      </c>
      <c r="U27" s="103"/>
    </row>
    <row r="28" spans="1:23">
      <c r="A28" s="9"/>
      <c r="B28" s="32" t="s">
        <v>20</v>
      </c>
      <c r="C28" s="73">
        <f>SUM(C6:C24)</f>
        <v>0</v>
      </c>
      <c r="D28" s="73">
        <f>SUM(D6:D26)</f>
        <v>25</v>
      </c>
      <c r="E28" s="73">
        <f>SUM(E6:E26)</f>
        <v>25</v>
      </c>
      <c r="F28" s="73">
        <f>SUM(F6:F26)</f>
        <v>25</v>
      </c>
      <c r="G28" s="73">
        <f>SUM(G6:G26)</f>
        <v>25</v>
      </c>
      <c r="H28" s="142">
        <f>SUM(H6:H26)</f>
        <v>171.00000000000006</v>
      </c>
      <c r="I28" s="144">
        <f>SUMIF(J6:J26,"BLS",I6:I26)</f>
        <v>291.59999999999997</v>
      </c>
      <c r="J28" s="32">
        <f>COUNTIF(J6:J26,"BLS")</f>
        <v>8</v>
      </c>
      <c r="K28" s="34" t="s">
        <v>29</v>
      </c>
      <c r="L28" s="138">
        <f>SUM(L6:L26)</f>
        <v>25.690000000000012</v>
      </c>
      <c r="M28" s="138">
        <f>SUM(M6:M26)</f>
        <v>3.3000000000000012</v>
      </c>
      <c r="N28" s="138">
        <f>SUM(N6:N26)</f>
        <v>199.99</v>
      </c>
      <c r="O28" s="138">
        <f>SUM(O6:O26)</f>
        <v>176.83999999999997</v>
      </c>
      <c r="P28" s="138">
        <f>SUM(P6:P26)</f>
        <v>23.15</v>
      </c>
      <c r="Q28" s="140"/>
    </row>
    <row r="29" spans="1:23">
      <c r="A29" s="9"/>
      <c r="B29" s="32" t="s">
        <v>11</v>
      </c>
      <c r="C29" s="86">
        <v>0</v>
      </c>
      <c r="D29" s="86">
        <f>25-D28</f>
        <v>0</v>
      </c>
      <c r="E29" s="86">
        <f>25-E28</f>
        <v>0</v>
      </c>
      <c r="F29" s="86">
        <f>25-F28</f>
        <v>0</v>
      </c>
      <c r="G29" s="86">
        <f>25-G28</f>
        <v>0</v>
      </c>
      <c r="H29" s="143"/>
      <c r="I29" s="145"/>
      <c r="J29" s="32">
        <f>COUNTIF(J6:J26,"direkt")</f>
        <v>11</v>
      </c>
      <c r="K29" s="32" t="s">
        <v>21</v>
      </c>
      <c r="L29" s="139"/>
      <c r="M29" s="139"/>
      <c r="N29" s="139"/>
      <c r="O29" s="139"/>
      <c r="P29" s="139"/>
      <c r="Q29" s="141"/>
    </row>
    <row r="30" spans="1:23">
      <c r="C30" s="87"/>
      <c r="D30" s="85"/>
      <c r="E30" s="85"/>
      <c r="F30" s="85"/>
      <c r="G30" s="85"/>
      <c r="N30" s="39"/>
      <c r="O30" s="39"/>
      <c r="P30" s="39"/>
      <c r="Q30" s="39"/>
      <c r="R30" s="17"/>
    </row>
    <row r="31" spans="1:23">
      <c r="A31" s="63"/>
      <c r="B31" s="50" t="s">
        <v>24</v>
      </c>
      <c r="C31" s="88">
        <v>1</v>
      </c>
      <c r="D31" s="83" t="s">
        <v>59</v>
      </c>
      <c r="E31" s="51"/>
      <c r="F31" s="51"/>
      <c r="G31" s="51"/>
      <c r="H31" s="51"/>
      <c r="I31" s="52"/>
      <c r="J31" s="53"/>
      <c r="K31" s="49"/>
      <c r="L31" s="49"/>
      <c r="M31" s="54"/>
      <c r="N31" s="96"/>
      <c r="O31" s="64"/>
      <c r="P31" s="51"/>
      <c r="Q31" s="69"/>
      <c r="R31" s="51"/>
    </row>
    <row r="32" spans="1:23" s="49" customFormat="1">
      <c r="A32" s="63"/>
      <c r="C32" s="56">
        <v>2</v>
      </c>
      <c r="D32" s="35" t="s">
        <v>34</v>
      </c>
      <c r="E32" s="51"/>
      <c r="F32" s="51"/>
      <c r="G32" s="51"/>
      <c r="H32" s="51"/>
      <c r="I32" s="52"/>
      <c r="J32" s="53"/>
      <c r="M32" s="54"/>
      <c r="O32" s="64"/>
      <c r="P32" s="51"/>
      <c r="Q32" s="70"/>
      <c r="R32" s="51"/>
      <c r="S32" s="55"/>
    </row>
    <row r="33" spans="1:21" s="49" customFormat="1">
      <c r="A33" s="63"/>
      <c r="C33" s="56">
        <v>3</v>
      </c>
      <c r="D33" s="35" t="s">
        <v>33</v>
      </c>
      <c r="E33" s="51"/>
      <c r="F33" s="51"/>
      <c r="G33" s="51"/>
      <c r="H33" s="51"/>
      <c r="I33" s="52"/>
      <c r="J33" s="53"/>
      <c r="M33" s="54"/>
      <c r="O33" s="64"/>
      <c r="P33" s="51"/>
      <c r="Q33" s="70"/>
      <c r="R33" s="51"/>
      <c r="S33" s="55"/>
    </row>
    <row r="34" spans="1:21" s="49" customFormat="1">
      <c r="A34" s="63"/>
      <c r="C34" s="56">
        <v>4</v>
      </c>
      <c r="D34" s="35" t="s">
        <v>60</v>
      </c>
      <c r="E34" s="51"/>
      <c r="F34" s="51"/>
      <c r="G34" s="51"/>
      <c r="H34" s="51"/>
      <c r="I34" s="52"/>
      <c r="J34" s="53"/>
      <c r="M34" s="54"/>
      <c r="O34" s="51"/>
      <c r="P34" s="51"/>
      <c r="Q34" s="70"/>
      <c r="R34" s="51"/>
      <c r="S34" s="55"/>
    </row>
    <row r="35" spans="1:21" s="49" customFormat="1">
      <c r="A35" s="63"/>
      <c r="C35" s="56">
        <v>5</v>
      </c>
      <c r="D35" s="35" t="s">
        <v>32</v>
      </c>
      <c r="E35" s="51"/>
      <c r="F35" s="51"/>
      <c r="G35" s="51"/>
      <c r="H35" s="51"/>
      <c r="I35" s="52"/>
      <c r="J35" s="53"/>
      <c r="M35" s="54"/>
      <c r="O35" s="51"/>
      <c r="P35" s="51"/>
      <c r="Q35" s="70"/>
      <c r="R35" s="8"/>
      <c r="S35" s="55"/>
    </row>
    <row r="36" spans="1:21" s="49" customFormat="1">
      <c r="A36" s="33"/>
      <c r="B36" s="17"/>
      <c r="C36" s="38"/>
      <c r="D36" s="38"/>
      <c r="E36" s="38"/>
      <c r="F36" s="38"/>
      <c r="G36" s="38"/>
      <c r="H36" s="5"/>
      <c r="I36" s="6"/>
      <c r="J36" s="17"/>
      <c r="K36" s="17"/>
      <c r="L36" s="7"/>
      <c r="M36" s="17"/>
      <c r="N36" s="38"/>
      <c r="O36" s="38"/>
      <c r="P36" s="38"/>
      <c r="Q36" s="68"/>
      <c r="R36" s="8"/>
      <c r="S36" s="51"/>
      <c r="T36" s="51"/>
      <c r="U36" s="55"/>
    </row>
  </sheetData>
  <mergeCells count="35">
    <mergeCell ref="C3:G4"/>
    <mergeCell ref="P28:P29"/>
    <mergeCell ref="O28:O29"/>
    <mergeCell ref="Q28:Q29"/>
    <mergeCell ref="H28:H29"/>
    <mergeCell ref="I28:I29"/>
    <mergeCell ref="N28:N29"/>
    <mergeCell ref="M28:M29"/>
    <mergeCell ref="L28:L29"/>
    <mergeCell ref="B1:Q1"/>
    <mergeCell ref="V15:W15"/>
    <mergeCell ref="V14:W14"/>
    <mergeCell ref="V13:W13"/>
    <mergeCell ref="T15:U15"/>
    <mergeCell ref="T13:U13"/>
    <mergeCell ref="T12:U12"/>
    <mergeCell ref="T14:U14"/>
    <mergeCell ref="V12:W12"/>
    <mergeCell ref="V6:W6"/>
    <mergeCell ref="T6:U6"/>
    <mergeCell ref="B3:B4"/>
    <mergeCell ref="V9:W9"/>
    <mergeCell ref="T9:U9"/>
    <mergeCell ref="H2:Q2"/>
    <mergeCell ref="C2:F2"/>
    <mergeCell ref="V16:W17"/>
    <mergeCell ref="T27:U27"/>
    <mergeCell ref="T26:U26"/>
    <mergeCell ref="H3:H4"/>
    <mergeCell ref="I3:I4"/>
    <mergeCell ref="Q3:Q4"/>
    <mergeCell ref="O3:O4"/>
    <mergeCell ref="N3:N4"/>
    <mergeCell ref="J3:M4"/>
    <mergeCell ref="P3:P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Ullrich</dc:creator>
  <cp:lastModifiedBy>Mathias Gädke</cp:lastModifiedBy>
  <dcterms:created xsi:type="dcterms:W3CDTF">2017-11-04T07:33:08Z</dcterms:created>
  <dcterms:modified xsi:type="dcterms:W3CDTF">2022-01-26T22:19:57Z</dcterms:modified>
</cp:coreProperties>
</file>